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015" activeTab="0"/>
  </bookViews>
  <sheets>
    <sheet name="tav.14.1ok" sheetId="1" r:id="rId1"/>
    <sheet name="tav.14.2ok" sheetId="2" r:id="rId2"/>
    <sheet name="tav.14.3ok" sheetId="3" r:id="rId3"/>
    <sheet name="tav.14.4ok" sheetId="4" r:id="rId4"/>
    <sheet name="tav.14.5ok" sheetId="5" r:id="rId5"/>
    <sheet name="tav.14.6ok" sheetId="6" r:id="rId6"/>
    <sheet name="tav.14.7ok" sheetId="7" r:id="rId7"/>
    <sheet name="tav.14.8ok" sheetId="8" r:id="rId8"/>
    <sheet name="tav.14.9ok" sheetId="9" r:id="rId9"/>
    <sheet name="tav.14.10ok" sheetId="10" r:id="rId10"/>
    <sheet name="tav.14.11ok" sheetId="11" r:id="rId11"/>
  </sheets>
  <definedNames/>
  <calcPr fullCalcOnLoad="1"/>
</workbook>
</file>

<file path=xl/comments3.xml><?xml version="1.0" encoding="utf-8"?>
<comments xmlns="http://schemas.openxmlformats.org/spreadsheetml/2006/main">
  <authors>
    <author>Michele Siviero</author>
  </authors>
  <commentList>
    <comment ref="A11" authorId="0">
      <text>
        <r>
          <rPr>
            <b/>
            <sz val="8"/>
            <rFont val="Tahoma"/>
            <family val="0"/>
          </rPr>
          <t>Michele Siviero:</t>
        </r>
        <r>
          <rPr>
            <sz val="8"/>
            <rFont val="Tahoma"/>
            <family val="0"/>
          </rPr>
          <t xml:space="preserve">
include motocicli con carrozzetta, che compaiono dal 2013</t>
        </r>
      </text>
    </comment>
  </commentList>
</comments>
</file>

<file path=xl/comments6.xml><?xml version="1.0" encoding="utf-8"?>
<comments xmlns="http://schemas.openxmlformats.org/spreadsheetml/2006/main">
  <authors>
    <author>Michele Siviero</author>
  </authors>
  <commentList>
    <comment ref="A8" authorId="0">
      <text>
        <r>
          <rPr>
            <b/>
            <sz val="8"/>
            <rFont val="Tahoma"/>
            <family val="0"/>
          </rPr>
          <t>Michele Siviero:</t>
        </r>
        <r>
          <rPr>
            <sz val="8"/>
            <rFont val="Tahoma"/>
            <family val="0"/>
          </rPr>
          <t xml:space="preserve">
il 2013 è sbagliato negli open data rer (è stato caricato il 2014)
</t>
        </r>
      </text>
    </comment>
  </commentList>
</comments>
</file>

<file path=xl/sharedStrings.xml><?xml version="1.0" encoding="utf-8"?>
<sst xmlns="http://schemas.openxmlformats.org/spreadsheetml/2006/main" count="256" uniqueCount="130">
  <si>
    <t>Autovetture</t>
  </si>
  <si>
    <t>Fonte: A.C.I.</t>
  </si>
  <si>
    <t>Autobus</t>
  </si>
  <si>
    <t>Motrici</t>
  </si>
  <si>
    <t>Motocicli</t>
  </si>
  <si>
    <t>Altri</t>
  </si>
  <si>
    <t>TOTALE</t>
  </si>
  <si>
    <t>Cortevecchia</t>
  </si>
  <si>
    <t>C.da Rosa, C. Tura, Armari</t>
  </si>
  <si>
    <t>Fausto Beretta</t>
  </si>
  <si>
    <t>Travaglio</t>
  </si>
  <si>
    <t>V. Baluardi, V. Bologna</t>
  </si>
  <si>
    <t>Borgoleoni, Palestro, Mascheraio</t>
  </si>
  <si>
    <t>Ripagrande, Piangipane</t>
  </si>
  <si>
    <t>Voltapaletto, Savonarola, Terranuova</t>
  </si>
  <si>
    <t>Parcheggio S. Guglielmo</t>
  </si>
  <si>
    <t>Bus impiegati</t>
  </si>
  <si>
    <t>Età media bus</t>
  </si>
  <si>
    <t>Posti offerti</t>
  </si>
  <si>
    <t>Urbani</t>
  </si>
  <si>
    <t>Extraurbani</t>
  </si>
  <si>
    <t>Totale</t>
  </si>
  <si>
    <t>-</t>
  </si>
  <si>
    <t>Servizio Urbano</t>
  </si>
  <si>
    <t>Biglietti corsa semplice</t>
  </si>
  <si>
    <t>Biglietti da quattro corse</t>
  </si>
  <si>
    <t>Abbonamenti mensili</t>
  </si>
  <si>
    <t>Abbonamenti annuali</t>
  </si>
  <si>
    <t>Servizio Extraurbano</t>
  </si>
  <si>
    <t>Biglietti</t>
  </si>
  <si>
    <t>Abbonamenti settimanali</t>
  </si>
  <si>
    <t>I biglietti comprendono quelli venduti sul bus dagli autisti e quelli del servizio a chiamata "taxibus".</t>
  </si>
  <si>
    <t>Boldini, Previati, De Pisis</t>
  </si>
  <si>
    <t>Sacrati, S. Stefano, Spadari</t>
  </si>
  <si>
    <t>Autorimesse</t>
  </si>
  <si>
    <t>Autorimessa Diamanti</t>
  </si>
  <si>
    <t>Autorimessa Piazzetta Cacciaguida</t>
  </si>
  <si>
    <t>Autorimessa Vicolo Mozzo Scimmia</t>
  </si>
  <si>
    <t>Totale Alta rotazione</t>
  </si>
  <si>
    <t>Totale Rotazione su strada</t>
  </si>
  <si>
    <t>Totale Attestamento</t>
  </si>
  <si>
    <t>Totale autorimesse</t>
  </si>
  <si>
    <t>Park ex MOF (gratuito)</t>
  </si>
  <si>
    <t>Ex Brunelli</t>
  </si>
  <si>
    <t>Park Rampari di S. Paolo</t>
  </si>
  <si>
    <t xml:space="preserve">Cavour </t>
  </si>
  <si>
    <t>Alta rotazione (Tariffa rossa)</t>
  </si>
  <si>
    <t>Rotazione su strada (Tariffa Blu)</t>
  </si>
  <si>
    <t>Attestamento (Tariffa gialla)</t>
  </si>
  <si>
    <r>
      <t>Park Diamanti</t>
    </r>
    <r>
      <rPr>
        <i/>
        <sz val="8"/>
        <rFont val="Verdana"/>
        <family val="2"/>
      </rPr>
      <t xml:space="preserve"> </t>
    </r>
  </si>
  <si>
    <t xml:space="preserve">Park Centro Storico </t>
  </si>
  <si>
    <r>
      <t>Park Rampari S. Rocco</t>
    </r>
    <r>
      <rPr>
        <i/>
        <sz val="8"/>
        <rFont val="Verdana"/>
        <family val="2"/>
      </rPr>
      <t xml:space="preserve"> </t>
    </r>
  </si>
  <si>
    <r>
      <t>Park Via del lavoro</t>
    </r>
    <r>
      <rPr>
        <i/>
        <sz val="10"/>
        <rFont val="Verdana"/>
        <family val="2"/>
      </rPr>
      <t xml:space="preserve"> </t>
    </r>
    <r>
      <rPr>
        <sz val="10"/>
        <rFont val="Verdana"/>
        <family val="2"/>
      </rPr>
      <t>(gratuito)</t>
    </r>
  </si>
  <si>
    <t>Fonte: Ami Ferrara</t>
  </si>
  <si>
    <t>Fonte: Ami Ferrara.</t>
  </si>
  <si>
    <t>Autocarri merci e autoveic.speciali/specifici</t>
  </si>
  <si>
    <t>Motocarri, motoveicoli e quadricicli spec./spec.</t>
  </si>
  <si>
    <t>Natanti</t>
  </si>
  <si>
    <t>Biglietti da dieci corse</t>
  </si>
  <si>
    <t>…</t>
  </si>
  <si>
    <t>Corso della Giovecca, Palestro</t>
  </si>
  <si>
    <t>Park Corso Vittorio Veneto</t>
  </si>
  <si>
    <t xml:space="preserve">   - da trasporto</t>
  </si>
  <si>
    <t xml:space="preserve">   - da lavoro</t>
  </si>
  <si>
    <t xml:space="preserve">   - da diporto</t>
  </si>
  <si>
    <t>passeggeri</t>
  </si>
  <si>
    <t>valori assoluti</t>
  </si>
  <si>
    <t>valori percentuali</t>
  </si>
  <si>
    <t>Biglietti giornalieri</t>
  </si>
  <si>
    <r>
      <t>Park Rampari S. Rocco</t>
    </r>
    <r>
      <rPr>
        <i/>
        <sz val="8"/>
        <rFont val="Verdana"/>
        <family val="2"/>
      </rPr>
      <t xml:space="preserve"> </t>
    </r>
    <r>
      <rPr>
        <i/>
        <sz val="10"/>
        <rFont val="Verdana"/>
        <family val="2"/>
      </rPr>
      <t xml:space="preserve"> - </t>
    </r>
    <r>
      <rPr>
        <sz val="10"/>
        <rFont val="Verdana"/>
        <family val="2"/>
      </rPr>
      <t>Mammuth</t>
    </r>
  </si>
  <si>
    <t>BENZINA</t>
  </si>
  <si>
    <t>BENZINA E GAS LIQUIDO</t>
  </si>
  <si>
    <t>BENZINA E METANO</t>
  </si>
  <si>
    <t>GASOLIO</t>
  </si>
  <si>
    <t>NON DEFINITO</t>
  </si>
  <si>
    <t>Ex MOF (gratuito)</t>
  </si>
  <si>
    <t>Camper service Rampari San Paolo</t>
  </si>
  <si>
    <t>PARCHEGGI PER AUTO</t>
  </si>
  <si>
    <t>PARCHEGGI PER CAMPER</t>
  </si>
  <si>
    <t>PARCHEGGI PER BUS TURISTICI</t>
  </si>
  <si>
    <t>Posti 2010</t>
  </si>
  <si>
    <t>Posti 2011</t>
  </si>
  <si>
    <t>Posti 2012</t>
  </si>
  <si>
    <t>Posti 2013</t>
  </si>
  <si>
    <t>Fonte dei dati: AIPO - Azienda Interregionale per il fiume Po</t>
  </si>
  <si>
    <t>ELETTRICITA'</t>
  </si>
  <si>
    <t>IBRIDO BENZINA</t>
  </si>
  <si>
    <t>IBRIDO GASOLIO</t>
  </si>
  <si>
    <t>ALTRE</t>
  </si>
  <si>
    <t>Posti 2014</t>
  </si>
  <si>
    <t>Autorimessa Ex Cavallerizza</t>
  </si>
  <si>
    <t>(1) Transito rilevato alle conche di Pontelagoscuro, Vallelepri e Valpagliaro.</t>
  </si>
  <si>
    <t>Posti 2015</t>
  </si>
  <si>
    <t>Altri biglietti (disabili, anziani, rifugiati varie)</t>
  </si>
  <si>
    <t>Altri biglietti (disabili, anziani, ..)</t>
  </si>
  <si>
    <t>Viaggiatori</t>
  </si>
  <si>
    <t>(*) Dal 2016 non vengono più classificati tra i veicoli circolanti i "Rimorchi". Il totale veicoli viene aggiornato anche per gli anni precedenti escludendo i rimorchi.</t>
  </si>
  <si>
    <t>EURO 0</t>
  </si>
  <si>
    <t>EURO 1</t>
  </si>
  <si>
    <t>EURO 2</t>
  </si>
  <si>
    <t>EURO 3</t>
  </si>
  <si>
    <t>EURO 4</t>
  </si>
  <si>
    <t>EURO 5</t>
  </si>
  <si>
    <t>EURO 6</t>
  </si>
  <si>
    <t>NC</t>
  </si>
  <si>
    <t>ND</t>
  </si>
  <si>
    <r>
      <t xml:space="preserve">Rimorchi </t>
    </r>
    <r>
      <rPr>
        <sz val="8"/>
        <rFont val="Verdana"/>
        <family val="2"/>
      </rPr>
      <t>(*)</t>
    </r>
  </si>
  <si>
    <t>TOTALE (*)</t>
  </si>
  <si>
    <t>Posti 2016</t>
  </si>
  <si>
    <t>Boldini, Previati, De Pisis, Antonioni</t>
  </si>
  <si>
    <r>
      <t xml:space="preserve">Baluardo S. Lorenzo </t>
    </r>
    <r>
      <rPr>
        <sz val="8"/>
        <rFont val="Verdana"/>
        <family val="2"/>
      </rPr>
      <t>(1)</t>
    </r>
  </si>
  <si>
    <t>(1) Cantiere in corso da agosto 2011</t>
  </si>
  <si>
    <t>Posti a pagamento esclusi i posti per disabili con e senza concessione e carico/scarico</t>
  </si>
  <si>
    <t>Tav. 14.8 - Aree di parcheggio a pagamento e gratuite gestite da Ferrara TUA Spa, secondo le tipologie. Situazione al 31/12</t>
  </si>
  <si>
    <r>
      <t xml:space="preserve">Tav. 14.11 - Natanti in transito negli scali fluviali dell'Idrovia Ferrarese </t>
    </r>
    <r>
      <rPr>
        <b/>
        <vertAlign val="superscript"/>
        <sz val="10"/>
        <rFont val="Verdana"/>
        <family val="2"/>
      </rPr>
      <t>1</t>
    </r>
  </si>
  <si>
    <t>Tav. 14.1 - Veicoli circolanti nel Comune di Ferrara al 31/12. Anni 2000-2017</t>
  </si>
  <si>
    <t>Tav. 14.6 - Autovetture circolanti nel comune di Ferrara per normativa ecologica (euro) al 31/12 dal 2014 al 2017</t>
  </si>
  <si>
    <t>Tav. 14.7 - Motocicli circolanti nel comune di Ferrara per normativa ecologica (euro) al 31/12 dal 2013 al 2017</t>
  </si>
  <si>
    <t>Motocarri, motoveicoli, quadricicli spec./spec.</t>
  </si>
  <si>
    <t>Tav. 14.4 - Veicoli nuovi immatricolati nell'anno nel Comune di Ferrara - numeri indice rispetto al 2000=100. Anni 2000-2017</t>
  </si>
  <si>
    <t>Rimorchi (*)</t>
  </si>
  <si>
    <t xml:space="preserve">Fonte: A.C.I. </t>
  </si>
  <si>
    <t>Tav. 14.3 - Veicoli nuovi immatricolati nell'anno nel Comune di Ferrara. Anni 2000-2017</t>
  </si>
  <si>
    <t>Tav. 14.2 - Veicoli circolanti nel Comune di Ferrara - numeri indice rispetto al 2000=100. Anni 2000-2017</t>
  </si>
  <si>
    <t>Tav. 14.9 - Trasporto pubblico urbano ed extraurbano - Biglietti venduti negli anni 2010-2017</t>
  </si>
  <si>
    <t>Posti 2017</t>
  </si>
  <si>
    <t>ANNI</t>
  </si>
  <si>
    <t>Nel 2017 per i bus impiegati si fa riferimento al dato “Quantità veicoli utilizzati con riserva tecnica e/o scorta”</t>
  </si>
  <si>
    <t>Tav. 14.5 - Autovetture circolanti nel comune di Ferrara per alimentazione al 31/12 dal 2015 al 2017</t>
  </si>
  <si>
    <t>Tav. 14.10 - Trasporto pubblico urbano ed extraurbano - Bus impiegati, posti offerti e viaggiatori - Anni 2003-2017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</si>
</sst>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0.0"/>
    <numFmt numFmtId="175" formatCode="#,##0.0"/>
    <numFmt numFmtId="176" formatCode="#,##0.0;[Red]\-#,##0.0"/>
    <numFmt numFmtId="177" formatCode="#,##0__"/>
    <numFmt numFmtId="178" formatCode="#,##0.0__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_-* #,##0.0_-;\-* #,##0.0_-;_-* &quot;-&quot;??_-;_-@_-"/>
    <numFmt numFmtId="183" formatCode="_-* #,##0.000_-;\-* #,##0.000_-;_-* &quot;-&quot;??_-;_-@_-"/>
    <numFmt numFmtId="184" formatCode="_-* #,##0_-;\-* #,##0_-;_-* &quot;-&quot;??_-;_-@_-"/>
    <numFmt numFmtId="185" formatCode="#,##0;[Red]#,##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_-* #,##0.0000_-;\-* #,##0.0000_-;_-* &quot;-&quot;??_-;_-@_-"/>
    <numFmt numFmtId="194" formatCode="0.000%"/>
    <numFmt numFmtId="195" formatCode="_-* #,##0.00000_-;\-* #,##0.00000_-;_-* &quot;-&quot;??_-;_-@_-"/>
    <numFmt numFmtId="196" formatCode="0.0000%"/>
    <numFmt numFmtId="197" formatCode="h\.mm\.ss"/>
    <numFmt numFmtId="198" formatCode="#,##0_ ;\-#,##0\ "/>
    <numFmt numFmtId="199" formatCode="0%;\-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8"/>
      <name val="Arial"/>
      <family val="0"/>
    </font>
    <font>
      <i/>
      <sz val="8"/>
      <name val="Verdana"/>
      <family val="2"/>
    </font>
    <font>
      <i/>
      <sz val="10"/>
      <name val="Verdana"/>
      <family val="2"/>
    </font>
    <font>
      <b/>
      <sz val="8"/>
      <name val="Verdana"/>
      <family val="2"/>
    </font>
    <font>
      <b/>
      <vertAlign val="superscript"/>
      <sz val="10"/>
      <name val="Verdana"/>
      <family val="2"/>
    </font>
    <font>
      <sz val="10"/>
      <color indexed="10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3.5"/>
      <color indexed="8"/>
      <name val="Times New Roman"/>
      <family val="1"/>
    </font>
    <font>
      <sz val="1.5"/>
      <color indexed="8"/>
      <name val="Times New Roman"/>
      <family val="1"/>
    </font>
    <font>
      <sz val="2"/>
      <color indexed="8"/>
      <name val="Times New Roman"/>
      <family val="1"/>
    </font>
    <font>
      <b/>
      <sz val="1.25"/>
      <color indexed="8"/>
      <name val="Verdana"/>
      <family val="2"/>
    </font>
    <font>
      <sz val="9.2"/>
      <color indexed="8"/>
      <name val="Times New Roman"/>
      <family val="1"/>
    </font>
    <font>
      <sz val="2.5"/>
      <color indexed="8"/>
      <name val="Times New Roman"/>
      <family val="1"/>
    </font>
    <font>
      <b/>
      <sz val="1.75"/>
      <color indexed="8"/>
      <name val="Verdan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28" fillId="16" borderId="1" applyNumberFormat="0" applyAlignment="0" applyProtection="0"/>
    <xf numFmtId="0" fontId="29" fillId="0" borderId="2" applyNumberFormat="0" applyFill="0" applyAlignment="0" applyProtection="0"/>
    <xf numFmtId="0" fontId="30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2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3" borderId="4" applyNumberFormat="0" applyFont="0" applyAlignment="0" applyProtection="0"/>
    <xf numFmtId="0" fontId="27" fillId="16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7" fillId="0" borderId="0" xfId="49" applyFont="1">
      <alignment/>
      <protection/>
    </xf>
    <xf numFmtId="0" fontId="8" fillId="0" borderId="10" xfId="49" applyFont="1" applyBorder="1">
      <alignment/>
      <protection/>
    </xf>
    <xf numFmtId="0" fontId="7" fillId="0" borderId="10" xfId="49" applyFont="1" applyBorder="1">
      <alignment/>
      <protection/>
    </xf>
    <xf numFmtId="0" fontId="7" fillId="0" borderId="0" xfId="49" applyFont="1" applyBorder="1">
      <alignment/>
      <protection/>
    </xf>
    <xf numFmtId="177" fontId="7" fillId="0" borderId="0" xfId="49" applyNumberFormat="1" applyFont="1" applyBorder="1">
      <alignment/>
      <protection/>
    </xf>
    <xf numFmtId="3" fontId="7" fillId="0" borderId="0" xfId="49" applyNumberFormat="1" applyFont="1">
      <alignment/>
      <protection/>
    </xf>
    <xf numFmtId="3" fontId="7" fillId="0" borderId="0" xfId="49" applyNumberFormat="1" applyFont="1" applyBorder="1">
      <alignment/>
      <protection/>
    </xf>
    <xf numFmtId="3" fontId="7" fillId="0" borderId="10" xfId="49" applyNumberFormat="1" applyFont="1" applyBorder="1">
      <alignment/>
      <protection/>
    </xf>
    <xf numFmtId="0" fontId="8" fillId="0" borderId="0" xfId="49" applyFont="1" applyAlignment="1">
      <alignment vertical="top"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7" fillId="0" borderId="0" xfId="0" applyFont="1" applyBorder="1" applyAlignment="1">
      <alignment vertical="top"/>
    </xf>
    <xf numFmtId="0" fontId="13" fillId="0" borderId="11" xfId="0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8" fillId="0" borderId="10" xfId="0" applyFont="1" applyBorder="1" applyAlignment="1">
      <alignment horizontal="right"/>
    </xf>
    <xf numFmtId="0" fontId="11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0" fontId="15" fillId="0" borderId="0" xfId="49" applyFont="1">
      <alignment/>
      <protection/>
    </xf>
    <xf numFmtId="0" fontId="12" fillId="0" borderId="0" xfId="0" applyFont="1" applyAlignment="1">
      <alignment/>
    </xf>
    <xf numFmtId="3" fontId="7" fillId="0" borderId="0" xfId="45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Continuous" vertical="center"/>
    </xf>
    <xf numFmtId="0" fontId="7" fillId="0" borderId="11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7" fillId="0" borderId="11" xfId="49" applyFont="1" applyBorder="1">
      <alignment/>
      <protection/>
    </xf>
    <xf numFmtId="0" fontId="7" fillId="0" borderId="11" xfId="49" applyFont="1" applyBorder="1" applyAlignment="1">
      <alignment horizontal="right" vertical="center"/>
      <protection/>
    </xf>
    <xf numFmtId="0" fontId="15" fillId="0" borderId="0" xfId="49" applyFont="1" applyAlignment="1">
      <alignment horizontal="center"/>
      <protection/>
    </xf>
    <xf numFmtId="177" fontId="7" fillId="0" borderId="10" xfId="49" applyNumberFormat="1" applyFont="1" applyBorder="1">
      <alignment/>
      <protection/>
    </xf>
    <xf numFmtId="176" fontId="7" fillId="0" borderId="0" xfId="49" applyNumberFormat="1" applyFont="1">
      <alignment/>
      <protection/>
    </xf>
    <xf numFmtId="0" fontId="8" fillId="0" borderId="0" xfId="49" applyFont="1">
      <alignment/>
      <protection/>
    </xf>
    <xf numFmtId="0" fontId="7" fillId="0" borderId="0" xfId="0" applyFont="1" applyFill="1" applyBorder="1" applyAlignment="1">
      <alignment/>
    </xf>
    <xf numFmtId="0" fontId="9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3" fontId="12" fillId="0" borderId="0" xfId="45" applyNumberFormat="1" applyFont="1" applyBorder="1" applyAlignment="1">
      <alignment horizontal="right" vertical="center"/>
    </xf>
    <xf numFmtId="3" fontId="7" fillId="0" borderId="10" xfId="45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/>
    </xf>
    <xf numFmtId="0" fontId="9" fillId="0" borderId="0" xfId="49" applyFont="1" applyBorder="1">
      <alignment/>
      <protection/>
    </xf>
    <xf numFmtId="0" fontId="7" fillId="0" borderId="0" xfId="49" applyFont="1" applyBorder="1" applyAlignment="1">
      <alignment wrapText="1"/>
      <protection/>
    </xf>
    <xf numFmtId="174" fontId="7" fillId="0" borderId="0" xfId="49" applyNumberFormat="1" applyFont="1">
      <alignment/>
      <protection/>
    </xf>
    <xf numFmtId="3" fontId="7" fillId="0" borderId="10" xfId="45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7" fillId="0" borderId="0" xfId="50" applyFont="1" applyBorder="1">
      <alignment/>
      <protection/>
    </xf>
    <xf numFmtId="0" fontId="18" fillId="0" borderId="1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8" fillId="0" borderId="0" xfId="50" applyFont="1">
      <alignment/>
      <protection/>
    </xf>
    <xf numFmtId="0" fontId="0" fillId="0" borderId="0" xfId="50">
      <alignment/>
      <protection/>
    </xf>
    <xf numFmtId="3" fontId="7" fillId="0" borderId="0" xfId="50" applyNumberFormat="1" applyFont="1" applyBorder="1">
      <alignment/>
      <protection/>
    </xf>
    <xf numFmtId="3" fontId="7" fillId="0" borderId="0" xfId="50" applyNumberFormat="1" applyFont="1" applyBorder="1" applyAlignment="1">
      <alignment horizontal="right"/>
      <protection/>
    </xf>
    <xf numFmtId="3" fontId="7" fillId="0" borderId="0" xfId="50" applyNumberFormat="1" applyFont="1" applyBorder="1" applyAlignment="1">
      <alignment vertical="center"/>
      <protection/>
    </xf>
    <xf numFmtId="0" fontId="7" fillId="0" borderId="13" xfId="50" applyFont="1" applyBorder="1">
      <alignment/>
      <protection/>
    </xf>
    <xf numFmtId="3" fontId="7" fillId="0" borderId="13" xfId="50" applyNumberFormat="1" applyFont="1" applyBorder="1">
      <alignment/>
      <protection/>
    </xf>
    <xf numFmtId="0" fontId="7" fillId="0" borderId="0" xfId="50" applyFont="1">
      <alignment/>
      <protection/>
    </xf>
    <xf numFmtId="3" fontId="7" fillId="0" borderId="0" xfId="50" applyNumberFormat="1" applyFont="1" applyFill="1" applyBorder="1">
      <alignment/>
      <protection/>
    </xf>
    <xf numFmtId="0" fontId="9" fillId="0" borderId="0" xfId="50" applyFont="1">
      <alignment/>
      <protection/>
    </xf>
    <xf numFmtId="0" fontId="1" fillId="0" borderId="0" xfId="50" applyFont="1">
      <alignment/>
      <protection/>
    </xf>
    <xf numFmtId="0" fontId="9" fillId="0" borderId="13" xfId="50" applyFont="1" applyBorder="1" applyAlignment="1">
      <alignment horizontal="center"/>
      <protection/>
    </xf>
    <xf numFmtId="0" fontId="7" fillId="0" borderId="14" xfId="50" applyFont="1" applyBorder="1" applyAlignment="1">
      <alignment horizontal="center"/>
      <protection/>
    </xf>
    <xf numFmtId="3" fontId="7" fillId="0" borderId="14" xfId="50" applyNumberFormat="1" applyFont="1" applyBorder="1">
      <alignment/>
      <protection/>
    </xf>
    <xf numFmtId="175" fontId="7" fillId="0" borderId="14" xfId="50" applyNumberFormat="1" applyFont="1" applyBorder="1">
      <alignment/>
      <protection/>
    </xf>
    <xf numFmtId="0" fontId="7" fillId="0" borderId="0" xfId="50" applyFont="1" applyBorder="1" applyAlignment="1">
      <alignment horizontal="center"/>
      <protection/>
    </xf>
    <xf numFmtId="175" fontId="7" fillId="0" borderId="0" xfId="50" applyNumberFormat="1" applyFont="1" applyBorder="1">
      <alignment/>
      <protection/>
    </xf>
    <xf numFmtId="175" fontId="7" fillId="0" borderId="0" xfId="50" applyNumberFormat="1" applyFont="1" applyFill="1" applyBorder="1">
      <alignment/>
      <protection/>
    </xf>
    <xf numFmtId="0" fontId="0" fillId="0" borderId="0" xfId="50" applyBorder="1">
      <alignment/>
      <protection/>
    </xf>
    <xf numFmtId="0" fontId="7" fillId="0" borderId="13" xfId="50" applyFont="1" applyBorder="1" applyAlignment="1">
      <alignment horizontal="center"/>
      <protection/>
    </xf>
    <xf numFmtId="175" fontId="7" fillId="0" borderId="13" xfId="50" applyNumberFormat="1" applyFont="1" applyFill="1" applyBorder="1">
      <alignment/>
      <protection/>
    </xf>
    <xf numFmtId="3" fontId="7" fillId="0" borderId="13" xfId="50" applyNumberFormat="1" applyFont="1" applyFill="1" applyBorder="1">
      <alignment/>
      <protection/>
    </xf>
    <xf numFmtId="0" fontId="12" fillId="0" borderId="0" xfId="50" applyFont="1" applyFill="1" applyBorder="1">
      <alignment/>
      <protection/>
    </xf>
    <xf numFmtId="3" fontId="0" fillId="0" borderId="0" xfId="50" applyNumberFormat="1">
      <alignment/>
      <protection/>
    </xf>
    <xf numFmtId="0" fontId="7" fillId="0" borderId="1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9" fillId="0" borderId="0" xfId="49" applyFont="1">
      <alignment/>
      <protection/>
    </xf>
    <xf numFmtId="174" fontId="7" fillId="0" borderId="0" xfId="49" applyNumberFormat="1" applyFont="1" applyAlignment="1">
      <alignment horizontal="right"/>
      <protection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 horizontal="centerContinuous"/>
    </xf>
    <xf numFmtId="0" fontId="7" fillId="0" borderId="10" xfId="49" applyFont="1" applyBorder="1" applyAlignment="1">
      <alignment horizontal="center" wrapText="1"/>
      <protection/>
    </xf>
    <xf numFmtId="1" fontId="7" fillId="0" borderId="10" xfId="0" applyNumberFormat="1" applyFont="1" applyBorder="1" applyAlignment="1">
      <alignment horizontal="right"/>
    </xf>
    <xf numFmtId="186" fontId="7" fillId="0" borderId="10" xfId="0" applyNumberFormat="1" applyFont="1" applyBorder="1" applyAlignment="1">
      <alignment/>
    </xf>
    <xf numFmtId="0" fontId="8" fillId="0" borderId="12" xfId="49" applyFont="1" applyBorder="1" applyAlignment="1">
      <alignment vertical="top"/>
      <protection/>
    </xf>
    <xf numFmtId="0" fontId="8" fillId="0" borderId="12" xfId="0" applyFont="1" applyFill="1" applyBorder="1" applyAlignment="1">
      <alignment/>
    </xf>
    <xf numFmtId="1" fontId="7" fillId="0" borderId="10" xfId="0" applyNumberFormat="1" applyFont="1" applyBorder="1" applyAlignment="1">
      <alignment/>
    </xf>
    <xf numFmtId="0" fontId="7" fillId="0" borderId="11" xfId="0" applyFont="1" applyFill="1" applyBorder="1" applyAlignment="1">
      <alignment horizontal="centerContinuous"/>
    </xf>
    <xf numFmtId="3" fontId="7" fillId="0" borderId="0" xfId="45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86" fontId="7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1" fillId="0" borderId="0" xfId="49" applyFont="1" applyBorder="1">
      <alignment/>
      <protection/>
    </xf>
    <xf numFmtId="3" fontId="7" fillId="0" borderId="0" xfId="0" applyNumberFormat="1" applyFont="1" applyBorder="1" applyAlignment="1">
      <alignment/>
    </xf>
    <xf numFmtId="0" fontId="7" fillId="0" borderId="12" xfId="0" applyFont="1" applyBorder="1" applyAlignment="1">
      <alignment horizontal="centerContinuous"/>
    </xf>
    <xf numFmtId="0" fontId="7" fillId="0" borderId="12" xfId="51" applyFont="1" applyBorder="1">
      <alignment/>
      <protection/>
    </xf>
    <xf numFmtId="0" fontId="7" fillId="0" borderId="0" xfId="51" applyFont="1">
      <alignment/>
      <protection/>
    </xf>
    <xf numFmtId="0" fontId="15" fillId="0" borderId="0" xfId="51" applyFont="1" applyAlignment="1">
      <alignment horizontal="center"/>
      <protection/>
    </xf>
    <xf numFmtId="177" fontId="7" fillId="0" borderId="0" xfId="51" applyNumberFormat="1" applyFont="1" applyBorder="1" applyAlignment="1">
      <alignment wrapText="1"/>
      <protection/>
    </xf>
    <xf numFmtId="3" fontId="7" fillId="0" borderId="0" xfId="51" applyNumberFormat="1" applyFont="1" applyBorder="1">
      <alignment/>
      <protection/>
    </xf>
    <xf numFmtId="3" fontId="7" fillId="0" borderId="0" xfId="51" applyNumberFormat="1" applyFont="1">
      <alignment/>
      <protection/>
    </xf>
    <xf numFmtId="3" fontId="7" fillId="0" borderId="0" xfId="49" applyNumberFormat="1" applyFont="1" applyBorder="1" applyAlignment="1">
      <alignment horizontal="right"/>
      <protection/>
    </xf>
    <xf numFmtId="0" fontId="7" fillId="0" borderId="0" xfId="51" applyFont="1" applyBorder="1" applyAlignment="1">
      <alignment wrapText="1"/>
      <protection/>
    </xf>
    <xf numFmtId="177" fontId="7" fillId="0" borderId="0" xfId="51" applyNumberFormat="1" applyFont="1" applyBorder="1">
      <alignment/>
      <protection/>
    </xf>
    <xf numFmtId="0" fontId="8" fillId="0" borderId="10" xfId="51" applyFont="1" applyBorder="1">
      <alignment/>
      <protection/>
    </xf>
    <xf numFmtId="177" fontId="7" fillId="0" borderId="10" xfId="51" applyNumberFormat="1" applyFont="1" applyBorder="1">
      <alignment/>
      <protection/>
    </xf>
    <xf numFmtId="3" fontId="7" fillId="0" borderId="10" xfId="51" applyNumberFormat="1" applyFont="1" applyBorder="1">
      <alignment/>
      <protection/>
    </xf>
    <xf numFmtId="0" fontId="7" fillId="0" borderId="10" xfId="51" applyFont="1" applyBorder="1">
      <alignment/>
      <protection/>
    </xf>
    <xf numFmtId="174" fontId="7" fillId="0" borderId="0" xfId="49" applyNumberFormat="1" applyFont="1" applyBorder="1">
      <alignment/>
      <protection/>
    </xf>
    <xf numFmtId="0" fontId="8" fillId="0" borderId="0" xfId="0" applyFont="1" applyBorder="1" applyAlignment="1">
      <alignment horizontal="left" vertical="center" wrapText="1"/>
    </xf>
    <xf numFmtId="3" fontId="7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 vertical="center" wrapText="1"/>
    </xf>
    <xf numFmtId="0" fontId="7" fillId="0" borderId="15" xfId="50" applyFont="1" applyBorder="1" applyAlignment="1">
      <alignment horizontal="center"/>
      <protection/>
    </xf>
    <xf numFmtId="3" fontId="7" fillId="0" borderId="14" xfId="50" applyNumberFormat="1" applyFont="1" applyBorder="1" applyAlignment="1">
      <alignment vertical="center"/>
      <protection/>
    </xf>
    <xf numFmtId="0" fontId="0" fillId="0" borderId="15" xfId="50" applyBorder="1" applyAlignment="1">
      <alignment horizontal="center"/>
      <protection/>
    </xf>
    <xf numFmtId="0" fontId="8" fillId="0" borderId="11" xfId="50" applyFont="1" applyBorder="1" applyAlignment="1">
      <alignment horizontal="center"/>
      <protection/>
    </xf>
    <xf numFmtId="0" fontId="11" fillId="0" borderId="0" xfId="50" applyFont="1" applyAlignment="1">
      <alignment wrapText="1"/>
      <protection/>
    </xf>
    <xf numFmtId="0" fontId="8" fillId="0" borderId="0" xfId="50" applyFont="1" applyBorder="1" applyAlignment="1">
      <alignment horizontal="center"/>
      <protection/>
    </xf>
    <xf numFmtId="0" fontId="7" fillId="0" borderId="15" xfId="50" applyFont="1" applyBorder="1" applyAlignment="1">
      <alignment horizontal="center" vertical="center"/>
      <protection/>
    </xf>
    <xf numFmtId="0" fontId="8" fillId="0" borderId="15" xfId="50" applyFont="1" applyBorder="1" applyAlignment="1">
      <alignment horizontal="center"/>
      <protection/>
    </xf>
    <xf numFmtId="0" fontId="9" fillId="0" borderId="15" xfId="50" applyFont="1" applyBorder="1" applyAlignment="1">
      <alignment horizontal="center" vertical="center" wrapText="1"/>
      <protection/>
    </xf>
    <xf numFmtId="0" fontId="7" fillId="0" borderId="15" xfId="50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2_serie storica veicoli ferrara" xfId="49"/>
    <cellStyle name="Normale_RISPOSTAper richiesta Ami-1" xfId="50"/>
    <cellStyle name="Normale_serie storica com prov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</a:rPr>
              <a:t>Veicoli circolanti nel Comune di Ferrara numeri indici rispetto al 1997=100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'tav.14.2ok'!#REF!</c:f>
              <c:strCache>
                <c:ptCount val="1"/>
                <c:pt idx="0">
                  <c:v>#RIF!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'tav.14.2ok'!#REF!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'tav.14.2ok'!#REF!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'tav.14.2ok'!#REF!</c:f>
              <c:strCache>
                <c:ptCount val="1"/>
                <c:pt idx="0">
                  <c:v>#RIF!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'tav.14.2ok'!#REF!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'tav.14.2ok'!#REF!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'tav.14.2ok'!#REF!</c:f>
              <c:strCache>
                <c:ptCount val="1"/>
                <c:pt idx="0">
                  <c:v>#RIF!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'tav.14.2ok'!#REF!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'tav.14.2ok'!#REF!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'tav.14.2ok'!#REF!</c:f>
              <c:strCache>
                <c:ptCount val="1"/>
                <c:pt idx="0">
                  <c:v>#RIF!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'tav.14.2ok'!#REF!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'tav.14.2ok'!#REF!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'tav.14.2ok'!#REF!</c:f>
              <c:strCache>
                <c:ptCount val="1"/>
                <c:pt idx="0">
                  <c:v>#RIF!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'tav.14.2ok'!#REF!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'tav.14.2ok'!#REF!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'tav.14.2ok'!#REF!</c:f>
              <c:strCache>
                <c:ptCount val="1"/>
                <c:pt idx="0">
                  <c:v>#RIF!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'tav.14.2ok'!#REF!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'tav.14.2ok'!#REF!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'tav.14.2ok'!#REF!</c:f>
              <c:strCache>
                <c:ptCount val="1"/>
                <c:pt idx="0">
                  <c:v>#RIF!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'tav.14.2ok'!#REF!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'tav.14.2ok'!#REF!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648245"/>
        <c:axId val="49072158"/>
      </c:lineChart>
      <c:catAx>
        <c:axId val="57648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9072158"/>
        <c:crosses val="autoZero"/>
        <c:auto val="1"/>
        <c:lblOffset val="100"/>
        <c:tickLblSkip val="1"/>
        <c:noMultiLvlLbl val="0"/>
      </c:catAx>
      <c:valAx>
        <c:axId val="49072158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764824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Veicoli circolanti nella Provincia di Ferrara
numeri indicirispetto al 1997=100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'tav.14.2ok'!#REF!</c:f>
              <c:strCache>
                <c:ptCount val="1"/>
                <c:pt idx="0">
                  <c:v>#RIF!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'tav.14.2ok'!#REF!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'tav.14.2ok'!#REF!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'tav.14.2ok'!#REF!</c:f>
              <c:strCache>
                <c:ptCount val="1"/>
                <c:pt idx="0">
                  <c:v>#RIF!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'tav.14.2ok'!#REF!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'tav.14.2ok'!#REF!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'tav.14.2ok'!#REF!</c:f>
              <c:strCache>
                <c:ptCount val="1"/>
                <c:pt idx="0">
                  <c:v>#RIF!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'tav.14.2ok'!#REF!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'tav.14.2ok'!#REF!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'tav.14.2ok'!#REF!</c:f>
              <c:strCache>
                <c:ptCount val="1"/>
                <c:pt idx="0">
                  <c:v>#RIF!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'tav.14.2ok'!#REF!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'tav.14.2ok'!#REF!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'tav.14.2ok'!#REF!</c:f>
              <c:strCache>
                <c:ptCount val="1"/>
                <c:pt idx="0">
                  <c:v>#RIF!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'tav.14.2ok'!#REF!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'tav.14.2ok'!#REF!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'tav.14.2ok'!#REF!</c:f>
              <c:strCache>
                <c:ptCount val="1"/>
                <c:pt idx="0">
                  <c:v>#RIF!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'tav.14.2ok'!#REF!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'tav.14.2ok'!#REF!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'tav.14.2ok'!#REF!</c:f>
              <c:strCache>
                <c:ptCount val="1"/>
                <c:pt idx="0">
                  <c:v>#RIF!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'tav.14.2ok'!#REF!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'tav.14.2ok'!#REF!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996239"/>
        <c:axId val="15421832"/>
      </c:lineChart>
      <c:catAx>
        <c:axId val="38996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15421832"/>
        <c:crosses val="autoZero"/>
        <c:auto val="1"/>
        <c:lblOffset val="100"/>
        <c:tickLblSkip val="1"/>
        <c:noMultiLvlLbl val="0"/>
      </c:catAx>
      <c:valAx>
        <c:axId val="15421832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3899623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361950</xdr:colOff>
      <xdr:row>1</xdr:row>
      <xdr:rowOff>76200</xdr:rowOff>
    </xdr:to>
    <xdr:pic>
      <xdr:nvPicPr>
        <xdr:cNvPr id="1" name="Picture 1" descr="intestazionetabel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1</xdr:row>
      <xdr:rowOff>76200</xdr:rowOff>
    </xdr:to>
    <xdr:pic>
      <xdr:nvPicPr>
        <xdr:cNvPr id="1" name="Picture 2" descr="intestazionetabel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76200</xdr:colOff>
      <xdr:row>1</xdr:row>
      <xdr:rowOff>76200</xdr:rowOff>
    </xdr:to>
    <xdr:pic>
      <xdr:nvPicPr>
        <xdr:cNvPr id="1" name="Picture 1" descr="intestazionetabel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0</xdr:row>
      <xdr:rowOff>0</xdr:rowOff>
    </xdr:from>
    <xdr:to>
      <xdr:col>14</xdr:col>
      <xdr:colOff>514350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991225" y="0"/>
        <a:ext cx="3590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495300</xdr:colOff>
      <xdr:row>0</xdr:row>
      <xdr:rowOff>0</xdr:rowOff>
    </xdr:from>
    <xdr:to>
      <xdr:col>23</xdr:col>
      <xdr:colOff>209550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9563100" y="0"/>
        <a:ext cx="4657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361950</xdr:colOff>
      <xdr:row>1</xdr:row>
      <xdr:rowOff>76200</xdr:rowOff>
    </xdr:to>
    <xdr:pic>
      <xdr:nvPicPr>
        <xdr:cNvPr id="3" name="Picture 3" descr="intestazionetabel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352425</xdr:colOff>
      <xdr:row>1</xdr:row>
      <xdr:rowOff>76200</xdr:rowOff>
    </xdr:to>
    <xdr:pic>
      <xdr:nvPicPr>
        <xdr:cNvPr id="1" name="Picture 3" descr="intestazionetabel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361950</xdr:colOff>
      <xdr:row>1</xdr:row>
      <xdr:rowOff>76200</xdr:rowOff>
    </xdr:to>
    <xdr:pic>
      <xdr:nvPicPr>
        <xdr:cNvPr id="1" name="Picture 1" descr="intestazionetabel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581025</xdr:colOff>
      <xdr:row>5</xdr:row>
      <xdr:rowOff>142875</xdr:rowOff>
    </xdr:to>
    <xdr:pic>
      <xdr:nvPicPr>
        <xdr:cNvPr id="1" name="Picture 1" descr="intestazionetabel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8</xdr:col>
      <xdr:colOff>638175</xdr:colOff>
      <xdr:row>6</xdr:row>
      <xdr:rowOff>142875</xdr:rowOff>
    </xdr:to>
    <xdr:pic>
      <xdr:nvPicPr>
        <xdr:cNvPr id="1" name="Picture 1" descr="intestazionetabel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10</xdr:col>
      <xdr:colOff>561975</xdr:colOff>
      <xdr:row>6</xdr:row>
      <xdr:rowOff>142875</xdr:rowOff>
    </xdr:to>
    <xdr:pic>
      <xdr:nvPicPr>
        <xdr:cNvPr id="1" name="Picture 1" descr="intestazionetabel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95250</xdr:colOff>
      <xdr:row>1</xdr:row>
      <xdr:rowOff>66675</xdr:rowOff>
    </xdr:to>
    <xdr:pic>
      <xdr:nvPicPr>
        <xdr:cNvPr id="1" name="Picture 2" descr="intestazionetabel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495300</xdr:colOff>
      <xdr:row>1</xdr:row>
      <xdr:rowOff>76200</xdr:rowOff>
    </xdr:to>
    <xdr:pic>
      <xdr:nvPicPr>
        <xdr:cNvPr id="1" name="Picture 2" descr="intestazionetabel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0"/>
  <sheetViews>
    <sheetView showGridLines="0" tabSelected="1" workbookViewId="0" topLeftCell="A1">
      <selection activeCell="A33" sqref="A33"/>
    </sheetView>
  </sheetViews>
  <sheetFormatPr defaultColWidth="8.00390625" defaultRowHeight="12.75"/>
  <cols>
    <col min="1" max="1" width="26.421875" style="1" customWidth="1"/>
    <col min="2" max="19" width="8.421875" style="1" customWidth="1"/>
    <col min="20" max="16384" width="8.00390625" style="1" customWidth="1"/>
  </cols>
  <sheetData>
    <row r="1" s="10" customFormat="1" ht="81.75" customHeight="1"/>
    <row r="2" s="10" customFormat="1" ht="12.75"/>
    <row r="3" ht="19.5" customHeight="1">
      <c r="A3" s="9" t="s">
        <v>115</v>
      </c>
    </row>
    <row r="4" spans="1:19" ht="15" customHeight="1">
      <c r="A4" s="42"/>
      <c r="B4" s="43">
        <v>2000</v>
      </c>
      <c r="C4" s="43">
        <v>2001</v>
      </c>
      <c r="D4" s="43">
        <v>2002</v>
      </c>
      <c r="E4" s="43">
        <v>2003</v>
      </c>
      <c r="F4" s="43">
        <v>2004</v>
      </c>
      <c r="G4" s="43">
        <v>2005</v>
      </c>
      <c r="H4" s="43">
        <v>2006</v>
      </c>
      <c r="I4" s="43">
        <v>2007</v>
      </c>
      <c r="J4" s="43">
        <v>2008</v>
      </c>
      <c r="K4" s="43">
        <v>2009</v>
      </c>
      <c r="L4" s="43">
        <v>2010</v>
      </c>
      <c r="M4" s="43">
        <v>2011</v>
      </c>
      <c r="N4" s="43">
        <v>2012</v>
      </c>
      <c r="O4" s="43">
        <v>2013</v>
      </c>
      <c r="P4" s="43">
        <v>2014</v>
      </c>
      <c r="Q4" s="43">
        <v>2015</v>
      </c>
      <c r="R4" s="43">
        <v>2016</v>
      </c>
      <c r="S4" s="43">
        <v>2017</v>
      </c>
    </row>
    <row r="5" spans="1:6" ht="12.75">
      <c r="A5" s="4"/>
      <c r="D5" s="44"/>
      <c r="F5" s="4"/>
    </row>
    <row r="6" spans="1:19" ht="12.75">
      <c r="A6" s="56" t="s">
        <v>0</v>
      </c>
      <c r="B6" s="5">
        <v>80839</v>
      </c>
      <c r="C6" s="6">
        <v>81482</v>
      </c>
      <c r="D6" s="6">
        <v>81477</v>
      </c>
      <c r="E6" s="6">
        <v>82039</v>
      </c>
      <c r="F6" s="7">
        <v>82563</v>
      </c>
      <c r="G6" s="7">
        <v>82678</v>
      </c>
      <c r="H6" s="7">
        <v>83207</v>
      </c>
      <c r="I6" s="6">
        <v>83199</v>
      </c>
      <c r="J6" s="6">
        <v>83335</v>
      </c>
      <c r="K6" s="6">
        <v>83340</v>
      </c>
      <c r="L6" s="6">
        <v>83379</v>
      </c>
      <c r="M6" s="6">
        <v>83991</v>
      </c>
      <c r="N6" s="6">
        <v>83411</v>
      </c>
      <c r="O6" s="6">
        <v>82746</v>
      </c>
      <c r="P6" s="6">
        <v>83152</v>
      </c>
      <c r="Q6" s="6">
        <v>83420</v>
      </c>
      <c r="R6" s="6">
        <v>84127</v>
      </c>
      <c r="S6" s="6">
        <v>84949</v>
      </c>
    </row>
    <row r="7" spans="1:19" ht="12.75">
      <c r="A7" s="56" t="s">
        <v>2</v>
      </c>
      <c r="B7" s="5">
        <v>404</v>
      </c>
      <c r="C7" s="6">
        <v>409</v>
      </c>
      <c r="D7" s="6">
        <v>427</v>
      </c>
      <c r="E7" s="6">
        <v>433</v>
      </c>
      <c r="F7" s="7">
        <v>433</v>
      </c>
      <c r="G7" s="7">
        <v>431</v>
      </c>
      <c r="H7" s="7">
        <v>417</v>
      </c>
      <c r="I7" s="7">
        <v>377</v>
      </c>
      <c r="J7" s="7">
        <v>396</v>
      </c>
      <c r="K7" s="7">
        <v>134</v>
      </c>
      <c r="L7" s="7">
        <v>141</v>
      </c>
      <c r="M7" s="7">
        <v>148</v>
      </c>
      <c r="N7" s="7">
        <v>157</v>
      </c>
      <c r="O7" s="7">
        <v>167</v>
      </c>
      <c r="P7" s="7">
        <v>188</v>
      </c>
      <c r="Q7" s="7">
        <v>205</v>
      </c>
      <c r="R7" s="7">
        <v>214</v>
      </c>
      <c r="S7" s="7">
        <v>226</v>
      </c>
    </row>
    <row r="8" spans="1:19" ht="25.5">
      <c r="A8" s="56" t="s">
        <v>55</v>
      </c>
      <c r="B8" s="5">
        <v>7631</v>
      </c>
      <c r="C8" s="6">
        <v>7962</v>
      </c>
      <c r="D8" s="6">
        <v>8468</v>
      </c>
      <c r="E8" s="6">
        <v>8861</v>
      </c>
      <c r="F8" s="7">
        <v>9051</v>
      </c>
      <c r="G8" s="7">
        <v>9069</v>
      </c>
      <c r="H8" s="7">
        <v>9079</v>
      </c>
      <c r="I8" s="7">
        <v>9137</v>
      </c>
      <c r="J8" s="7">
        <v>9088</v>
      </c>
      <c r="K8" s="7">
        <v>8929</v>
      </c>
      <c r="L8" s="7">
        <v>8771</v>
      </c>
      <c r="M8" s="7">
        <v>8886</v>
      </c>
      <c r="N8" s="7">
        <v>8926</v>
      </c>
      <c r="O8" s="7">
        <v>8832</v>
      </c>
      <c r="P8" s="7">
        <v>8693</v>
      </c>
      <c r="Q8" s="7">
        <v>8665</v>
      </c>
      <c r="R8" s="7">
        <v>8667</v>
      </c>
      <c r="S8" s="7">
        <v>8663</v>
      </c>
    </row>
    <row r="9" spans="1:19" ht="12.75">
      <c r="A9" s="56" t="s">
        <v>3</v>
      </c>
      <c r="B9" s="5">
        <v>269</v>
      </c>
      <c r="C9" s="6">
        <v>277</v>
      </c>
      <c r="D9" s="6">
        <v>281</v>
      </c>
      <c r="E9" s="6">
        <v>299</v>
      </c>
      <c r="F9" s="7">
        <v>295</v>
      </c>
      <c r="G9" s="7">
        <v>292</v>
      </c>
      <c r="H9" s="7">
        <v>271</v>
      </c>
      <c r="I9" s="7">
        <v>279</v>
      </c>
      <c r="J9" s="7">
        <v>286</v>
      </c>
      <c r="K9" s="7">
        <v>288</v>
      </c>
      <c r="L9" s="7">
        <v>299</v>
      </c>
      <c r="M9" s="7">
        <v>286</v>
      </c>
      <c r="N9" s="7">
        <v>294</v>
      </c>
      <c r="O9" s="7">
        <v>299</v>
      </c>
      <c r="P9" s="7">
        <v>289</v>
      </c>
      <c r="Q9" s="7">
        <v>281</v>
      </c>
      <c r="R9" s="7">
        <v>288</v>
      </c>
      <c r="S9" s="7">
        <v>316</v>
      </c>
    </row>
    <row r="10" spans="1:19" ht="12.75" hidden="1">
      <c r="A10" s="56" t="s">
        <v>106</v>
      </c>
      <c r="B10" s="5">
        <v>2751</v>
      </c>
      <c r="C10" s="6">
        <v>2679</v>
      </c>
      <c r="D10" s="6">
        <v>2672</v>
      </c>
      <c r="E10" s="6">
        <v>2645</v>
      </c>
      <c r="F10" s="7">
        <v>2574</v>
      </c>
      <c r="G10" s="7">
        <v>2532</v>
      </c>
      <c r="H10" s="7">
        <v>2430</v>
      </c>
      <c r="I10" s="7">
        <v>2389</v>
      </c>
      <c r="J10" s="7">
        <v>2383</v>
      </c>
      <c r="K10" s="7">
        <v>626</v>
      </c>
      <c r="L10" s="7">
        <v>637</v>
      </c>
      <c r="M10" s="7">
        <v>685</v>
      </c>
      <c r="N10" s="7">
        <v>716</v>
      </c>
      <c r="O10" s="7">
        <v>705</v>
      </c>
      <c r="P10" s="7">
        <v>710</v>
      </c>
      <c r="Q10" s="7">
        <v>731</v>
      </c>
      <c r="R10" s="7">
        <v>0</v>
      </c>
      <c r="S10" s="7"/>
    </row>
    <row r="11" spans="1:19" ht="12.75">
      <c r="A11" s="56" t="s">
        <v>4</v>
      </c>
      <c r="B11" s="5">
        <v>7673</v>
      </c>
      <c r="C11" s="6">
        <v>8676</v>
      </c>
      <c r="D11" s="6">
        <v>9491</v>
      </c>
      <c r="E11" s="6">
        <v>10294</v>
      </c>
      <c r="F11" s="7">
        <v>11055</v>
      </c>
      <c r="G11" s="7">
        <v>11815</v>
      </c>
      <c r="H11" s="7">
        <v>12342</v>
      </c>
      <c r="I11" s="7">
        <v>12772</v>
      </c>
      <c r="J11" s="7">
        <v>12981</v>
      </c>
      <c r="K11" s="7">
        <v>13413</v>
      </c>
      <c r="L11" s="7">
        <v>13602</v>
      </c>
      <c r="M11" s="7">
        <v>13801</v>
      </c>
      <c r="N11" s="7">
        <v>13897</v>
      </c>
      <c r="O11" s="7">
        <v>13773</v>
      </c>
      <c r="P11" s="7">
        <v>13734</v>
      </c>
      <c r="Q11" s="7">
        <v>13663</v>
      </c>
      <c r="R11" s="7">
        <v>13505</v>
      </c>
      <c r="S11" s="7">
        <v>13550</v>
      </c>
    </row>
    <row r="12" spans="1:19" ht="25.5">
      <c r="A12" s="56" t="s">
        <v>56</v>
      </c>
      <c r="B12" s="5">
        <v>289</v>
      </c>
      <c r="C12" s="6">
        <v>279</v>
      </c>
      <c r="D12" s="6">
        <v>276</v>
      </c>
      <c r="E12" s="6">
        <v>251</v>
      </c>
      <c r="F12" s="7">
        <v>233</v>
      </c>
      <c r="G12" s="7">
        <v>209</v>
      </c>
      <c r="H12" s="7">
        <v>211</v>
      </c>
      <c r="I12" s="7">
        <v>203</v>
      </c>
      <c r="J12" s="7">
        <v>207</v>
      </c>
      <c r="K12" s="7">
        <v>210</v>
      </c>
      <c r="L12" s="7">
        <v>203</v>
      </c>
      <c r="M12" s="7">
        <v>196</v>
      </c>
      <c r="N12" s="7">
        <v>189</v>
      </c>
      <c r="O12" s="7">
        <v>179</v>
      </c>
      <c r="P12" s="7">
        <v>187</v>
      </c>
      <c r="Q12" s="7">
        <v>182</v>
      </c>
      <c r="R12" s="7">
        <v>184</v>
      </c>
      <c r="S12" s="7">
        <v>177</v>
      </c>
    </row>
    <row r="13" spans="1:19" ht="12.75">
      <c r="A13" s="56" t="s">
        <v>5</v>
      </c>
      <c r="B13" s="5">
        <v>8</v>
      </c>
      <c r="C13" s="6">
        <v>8</v>
      </c>
      <c r="D13" s="6">
        <v>8</v>
      </c>
      <c r="E13" s="6">
        <v>8</v>
      </c>
      <c r="F13" s="7">
        <v>8</v>
      </c>
      <c r="G13" s="7">
        <v>8</v>
      </c>
      <c r="H13" s="7">
        <v>8</v>
      </c>
      <c r="I13" s="7">
        <v>8</v>
      </c>
      <c r="J13" s="7">
        <v>8</v>
      </c>
      <c r="K13" s="7">
        <v>8</v>
      </c>
      <c r="L13" s="7">
        <v>8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</row>
    <row r="14" spans="1:16" ht="12.75">
      <c r="A14" s="4"/>
      <c r="B14" s="5"/>
      <c r="C14" s="6"/>
      <c r="D14" s="6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9" ht="12.75">
      <c r="A15" s="4" t="s">
        <v>107</v>
      </c>
      <c r="B15" s="7">
        <v>97113</v>
      </c>
      <c r="C15" s="7">
        <v>99093</v>
      </c>
      <c r="D15" s="7">
        <v>100428</v>
      </c>
      <c r="E15" s="7">
        <v>102185</v>
      </c>
      <c r="F15" s="7">
        <v>103638</v>
      </c>
      <c r="G15" s="7">
        <v>104502</v>
      </c>
      <c r="H15" s="7">
        <v>105535</v>
      </c>
      <c r="I15" s="7">
        <v>105975</v>
      </c>
      <c r="J15" s="7">
        <v>106301</v>
      </c>
      <c r="K15" s="7">
        <v>106322</v>
      </c>
      <c r="L15" s="7">
        <v>106403</v>
      </c>
      <c r="M15" s="7">
        <v>107308</v>
      </c>
      <c r="N15" s="7">
        <v>106874</v>
      </c>
      <c r="O15" s="7">
        <v>105996</v>
      </c>
      <c r="P15" s="7">
        <v>106243</v>
      </c>
      <c r="Q15" s="7">
        <v>106416</v>
      </c>
      <c r="R15" s="7">
        <v>106985</v>
      </c>
      <c r="S15" s="7">
        <v>107881</v>
      </c>
    </row>
    <row r="16" spans="1:19" ht="12.75">
      <c r="A16" s="3"/>
      <c r="B16" s="45"/>
      <c r="C16" s="8"/>
      <c r="D16" s="8"/>
      <c r="E16" s="8"/>
      <c r="F16" s="8"/>
      <c r="G16" s="8"/>
      <c r="H16" s="8"/>
      <c r="I16" s="8"/>
      <c r="J16" s="8"/>
      <c r="K16" s="8"/>
      <c r="L16" s="3"/>
      <c r="M16" s="3"/>
      <c r="N16" s="3"/>
      <c r="O16" s="3"/>
      <c r="P16" s="3"/>
      <c r="Q16" s="3"/>
      <c r="R16" s="3"/>
      <c r="S16" s="3"/>
    </row>
    <row r="17" spans="2:5" ht="5.25" customHeight="1">
      <c r="B17" s="5"/>
      <c r="C17" s="7"/>
      <c r="D17" s="7"/>
      <c r="E17" s="7"/>
    </row>
    <row r="18" ht="12.75">
      <c r="A18" s="90" t="s">
        <v>96</v>
      </c>
    </row>
    <row r="19" spans="1:5" ht="12.75">
      <c r="A19" s="55" t="s">
        <v>1</v>
      </c>
      <c r="E19"/>
    </row>
    <row r="20" spans="1:5" ht="12.75">
      <c r="A20" s="33"/>
      <c r="E20"/>
    </row>
  </sheetData>
  <sheetProtection/>
  <printOptions/>
  <pageMargins left="0.3937007874015748" right="0.4724409448818898" top="0.69" bottom="0.66" header="0.5118110236220472" footer="0.5118110236220472"/>
  <pageSetup fitToHeight="2" fitToWidth="2"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S4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6.28125" style="65" customWidth="1"/>
    <col min="2" max="4" width="10.00390625" style="65" customWidth="1"/>
    <col min="5" max="5" width="11.140625" style="65" customWidth="1"/>
    <col min="6" max="6" width="11.28125" style="65" customWidth="1"/>
    <col min="7" max="7" width="12.140625" style="65" customWidth="1"/>
    <col min="8" max="16384" width="9.140625" style="65" customWidth="1"/>
  </cols>
  <sheetData>
    <row r="1" s="10" customFormat="1" ht="81.75" customHeight="1"/>
    <row r="2" s="10" customFormat="1" ht="12.75"/>
    <row r="3" spans="1:7" ht="12.75">
      <c r="A3" s="64" t="s">
        <v>129</v>
      </c>
      <c r="B3" s="74"/>
      <c r="C3" s="74"/>
      <c r="D3" s="74"/>
      <c r="E3" s="74"/>
      <c r="F3" s="74"/>
      <c r="G3" s="74"/>
    </row>
    <row r="4" spans="1:19" ht="12.75">
      <c r="A4" s="132"/>
      <c r="B4" s="132"/>
      <c r="C4" s="132"/>
      <c r="D4" s="132"/>
      <c r="E4" s="132"/>
      <c r="F4" s="132"/>
      <c r="G4" s="132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5" spans="1:19" ht="12.75" customHeight="1">
      <c r="A5" s="133"/>
      <c r="B5" s="134" t="s">
        <v>16</v>
      </c>
      <c r="C5" s="134"/>
      <c r="D5" s="134"/>
      <c r="E5" s="135" t="s">
        <v>17</v>
      </c>
      <c r="F5" s="136" t="s">
        <v>18</v>
      </c>
      <c r="G5" s="133" t="s">
        <v>95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2.75">
      <c r="A6" s="133"/>
      <c r="B6" s="75" t="s">
        <v>19</v>
      </c>
      <c r="C6" s="75" t="s">
        <v>20</v>
      </c>
      <c r="D6" s="75" t="s">
        <v>21</v>
      </c>
      <c r="E6" s="135"/>
      <c r="F6" s="136"/>
      <c r="G6" s="133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4.25" customHeight="1">
      <c r="A7" s="76">
        <v>2003</v>
      </c>
      <c r="B7" s="77">
        <v>93</v>
      </c>
      <c r="C7" s="77">
        <v>220</v>
      </c>
      <c r="D7" s="77">
        <v>313</v>
      </c>
      <c r="E7" s="78">
        <v>13.7</v>
      </c>
      <c r="F7" s="77">
        <v>25608</v>
      </c>
      <c r="G7" s="77">
        <v>12960913</v>
      </c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</row>
    <row r="8" spans="1:19" ht="14.25" customHeight="1">
      <c r="A8" s="79">
        <v>2004</v>
      </c>
      <c r="B8" s="66">
        <v>101</v>
      </c>
      <c r="C8" s="66">
        <v>235</v>
      </c>
      <c r="D8" s="66">
        <v>336</v>
      </c>
      <c r="E8" s="80">
        <v>12.85</v>
      </c>
      <c r="F8" s="66">
        <v>24274</v>
      </c>
      <c r="G8" s="66">
        <v>13328855</v>
      </c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</row>
    <row r="9" spans="1:19" ht="14.25" customHeight="1">
      <c r="A9" s="79">
        <v>2005</v>
      </c>
      <c r="B9" s="66">
        <v>98</v>
      </c>
      <c r="C9" s="66">
        <v>241</v>
      </c>
      <c r="D9" s="66">
        <v>339</v>
      </c>
      <c r="E9" s="80">
        <v>13.25</v>
      </c>
      <c r="F9" s="66">
        <v>23992</v>
      </c>
      <c r="G9" s="66">
        <v>13498222</v>
      </c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</row>
    <row r="10" spans="1:19" ht="14.25" customHeight="1">
      <c r="A10" s="79">
        <v>2006</v>
      </c>
      <c r="B10" s="66">
        <v>94</v>
      </c>
      <c r="C10" s="66">
        <v>240</v>
      </c>
      <c r="D10" s="66">
        <v>334</v>
      </c>
      <c r="E10" s="80">
        <v>10.3</v>
      </c>
      <c r="F10" s="66">
        <v>24802</v>
      </c>
      <c r="G10" s="66">
        <f>8369218+4713732</f>
        <v>13082950</v>
      </c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</row>
    <row r="11" spans="1:19" ht="14.25" customHeight="1">
      <c r="A11" s="79">
        <v>2007</v>
      </c>
      <c r="B11" s="66">
        <v>80</v>
      </c>
      <c r="C11" s="66">
        <v>223</v>
      </c>
      <c r="D11" s="66">
        <v>303</v>
      </c>
      <c r="E11" s="80">
        <v>9.68</v>
      </c>
      <c r="F11" s="66">
        <v>22051</v>
      </c>
      <c r="G11" s="66">
        <f>8051995+4616196</f>
        <v>12668191</v>
      </c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</row>
    <row r="12" spans="1:7" ht="14.25" customHeight="1">
      <c r="A12" s="79">
        <v>2008</v>
      </c>
      <c r="B12" s="66">
        <v>80</v>
      </c>
      <c r="C12" s="66">
        <v>222</v>
      </c>
      <c r="D12" s="66">
        <v>302</v>
      </c>
      <c r="E12" s="81">
        <v>9.1</v>
      </c>
      <c r="F12" s="72">
        <f>6397+15338</f>
        <v>21735</v>
      </c>
      <c r="G12" s="66">
        <f>8445996+4910299</f>
        <v>13356295</v>
      </c>
    </row>
    <row r="13" spans="1:7" ht="14.25" customHeight="1">
      <c r="A13" s="79">
        <v>2009</v>
      </c>
      <c r="B13" s="66">
        <v>79</v>
      </c>
      <c r="C13" s="66">
        <v>222</v>
      </c>
      <c r="D13" s="66">
        <v>301</v>
      </c>
      <c r="E13" s="81">
        <v>9.75</v>
      </c>
      <c r="F13" s="72">
        <v>21398</v>
      </c>
      <c r="G13" s="66">
        <v>12977952</v>
      </c>
    </row>
    <row r="14" spans="1:7" ht="14.25" customHeight="1">
      <c r="A14" s="79">
        <v>2010</v>
      </c>
      <c r="B14" s="66">
        <v>82</v>
      </c>
      <c r="C14" s="66">
        <f>189+27</f>
        <v>216</v>
      </c>
      <c r="D14" s="66">
        <f>SUM(B14:C14)</f>
        <v>298</v>
      </c>
      <c r="E14" s="81">
        <v>9.8</v>
      </c>
      <c r="F14" s="72">
        <v>21940</v>
      </c>
      <c r="G14" s="66">
        <f>4921663+8836924</f>
        <v>13758587</v>
      </c>
    </row>
    <row r="15" spans="1:7" ht="14.25" customHeight="1">
      <c r="A15" s="79">
        <v>2011</v>
      </c>
      <c r="B15" s="66">
        <v>75</v>
      </c>
      <c r="C15" s="66">
        <f>184+10+3+8+8</f>
        <v>213</v>
      </c>
      <c r="D15" s="66">
        <f>SUM(B15:C15)</f>
        <v>288</v>
      </c>
      <c r="E15" s="81">
        <v>10.4</v>
      </c>
      <c r="F15" s="72">
        <v>19008</v>
      </c>
      <c r="G15" s="66">
        <f>7849155+4193938</f>
        <v>12043093</v>
      </c>
    </row>
    <row r="16" spans="1:7" s="82" customFormat="1" ht="14.25" customHeight="1">
      <c r="A16" s="79">
        <v>2012</v>
      </c>
      <c r="B16" s="66">
        <v>75</v>
      </c>
      <c r="C16" s="66">
        <v>216</v>
      </c>
      <c r="D16" s="66">
        <f>SUM(B16:C16)</f>
        <v>291</v>
      </c>
      <c r="E16" s="81">
        <v>11.1</v>
      </c>
      <c r="F16" s="72">
        <f>73.58*D16</f>
        <v>21411.78</v>
      </c>
      <c r="G16" s="66">
        <f>7320015+4248495</f>
        <v>11568510</v>
      </c>
    </row>
    <row r="17" spans="1:7" s="82" customFormat="1" ht="14.25" customHeight="1">
      <c r="A17" s="79">
        <v>2013</v>
      </c>
      <c r="B17" s="66">
        <v>72</v>
      </c>
      <c r="C17" s="66">
        <v>214</v>
      </c>
      <c r="D17" s="66">
        <v>289</v>
      </c>
      <c r="E17" s="81">
        <v>12.4</v>
      </c>
      <c r="F17" s="72">
        <v>20852</v>
      </c>
      <c r="G17" s="66">
        <v>13343358</v>
      </c>
    </row>
    <row r="18" spans="1:7" s="82" customFormat="1" ht="14.25" customHeight="1">
      <c r="A18" s="79">
        <v>2014</v>
      </c>
      <c r="B18" s="66">
        <v>68</v>
      </c>
      <c r="C18" s="66">
        <v>213</v>
      </c>
      <c r="D18" s="66">
        <v>281</v>
      </c>
      <c r="E18" s="81">
        <v>13.2</v>
      </c>
      <c r="F18" s="72">
        <v>20554</v>
      </c>
      <c r="G18" s="66">
        <v>13537000</v>
      </c>
    </row>
    <row r="19" spans="1:7" s="82" customFormat="1" ht="14.25" customHeight="1">
      <c r="A19" s="79">
        <v>2015</v>
      </c>
      <c r="B19" s="66">
        <v>68</v>
      </c>
      <c r="C19" s="66">
        <v>217</v>
      </c>
      <c r="D19" s="66">
        <v>285</v>
      </c>
      <c r="E19" s="81">
        <f>(12.18*B19+14.47*C19)/D19</f>
        <v>13.923614035087722</v>
      </c>
      <c r="F19" s="72">
        <v>20908</v>
      </c>
      <c r="G19" s="66">
        <f>8380767+4568359</f>
        <v>12949126</v>
      </c>
    </row>
    <row r="20" spans="1:7" s="82" customFormat="1" ht="14.25" customHeight="1">
      <c r="A20" s="79">
        <v>2016</v>
      </c>
      <c r="B20" s="66">
        <v>62</v>
      </c>
      <c r="C20" s="66">
        <v>218</v>
      </c>
      <c r="D20" s="66">
        <v>208</v>
      </c>
      <c r="E20" s="81">
        <v>14.5</v>
      </c>
      <c r="F20" s="72">
        <v>19345</v>
      </c>
      <c r="G20" s="66">
        <v>12682818</v>
      </c>
    </row>
    <row r="21" spans="1:7" ht="14.25" customHeight="1">
      <c r="A21" s="83">
        <v>2017</v>
      </c>
      <c r="B21" s="70">
        <v>65</v>
      </c>
      <c r="C21" s="70">
        <v>227</v>
      </c>
      <c r="D21" s="70">
        <v>292</v>
      </c>
      <c r="E21" s="84">
        <v>13.24</v>
      </c>
      <c r="F21" s="85">
        <v>19958</v>
      </c>
      <c r="G21" s="70">
        <v>13107885.620892003</v>
      </c>
    </row>
    <row r="22" ht="3.75" customHeight="1"/>
    <row r="23" spans="3:5" ht="12.75" hidden="1">
      <c r="C23" s="72">
        <v>75</v>
      </c>
      <c r="D23" s="65">
        <v>12.2</v>
      </c>
      <c r="E23" s="65">
        <f aca="true" t="shared" si="0" ref="E23:E36">C23*D23</f>
        <v>915</v>
      </c>
    </row>
    <row r="24" spans="3:5" ht="12.75" hidden="1">
      <c r="C24" s="72">
        <v>192</v>
      </c>
      <c r="D24" s="65">
        <v>10.6</v>
      </c>
      <c r="E24" s="65">
        <f t="shared" si="0"/>
        <v>2035.1999999999998</v>
      </c>
    </row>
    <row r="25" spans="3:5" ht="12.75" hidden="1">
      <c r="C25" s="72">
        <v>5</v>
      </c>
      <c r="D25" s="65">
        <v>10.5</v>
      </c>
      <c r="E25" s="65">
        <f t="shared" si="0"/>
        <v>52.5</v>
      </c>
    </row>
    <row r="26" spans="3:5" ht="12.75" hidden="1">
      <c r="C26" s="72">
        <v>8</v>
      </c>
      <c r="D26" s="65">
        <v>12.3</v>
      </c>
      <c r="E26" s="65">
        <f t="shared" si="0"/>
        <v>98.4</v>
      </c>
    </row>
    <row r="27" spans="3:6" ht="12.75" hidden="1">
      <c r="C27" s="87"/>
      <c r="D27" s="65">
        <v>75</v>
      </c>
      <c r="E27" s="65">
        <f t="shared" si="0"/>
        <v>0</v>
      </c>
      <c r="F27" s="65">
        <f aca="true" t="shared" si="1" ref="F27:F32">D27*E27</f>
        <v>0</v>
      </c>
    </row>
    <row r="28" spans="4:6" ht="12.75" hidden="1">
      <c r="D28" s="65">
        <v>184</v>
      </c>
      <c r="E28" s="65">
        <f t="shared" si="0"/>
        <v>0</v>
      </c>
      <c r="F28" s="65">
        <f t="shared" si="1"/>
        <v>0</v>
      </c>
    </row>
    <row r="29" spans="4:6" ht="12.75" hidden="1">
      <c r="D29" s="65">
        <v>10</v>
      </c>
      <c r="E29" s="65">
        <f t="shared" si="0"/>
        <v>0</v>
      </c>
      <c r="F29" s="65">
        <f t="shared" si="1"/>
        <v>0</v>
      </c>
    </row>
    <row r="30" spans="4:6" ht="12.75" hidden="1">
      <c r="D30" s="65">
        <v>3</v>
      </c>
      <c r="E30" s="65">
        <f t="shared" si="0"/>
        <v>0</v>
      </c>
      <c r="F30" s="65">
        <f t="shared" si="1"/>
        <v>0</v>
      </c>
    </row>
    <row r="31" spans="4:6" ht="12.75" hidden="1">
      <c r="D31" s="65">
        <v>8</v>
      </c>
      <c r="E31" s="65">
        <f t="shared" si="0"/>
        <v>0</v>
      </c>
      <c r="F31" s="65">
        <f t="shared" si="1"/>
        <v>0</v>
      </c>
    </row>
    <row r="32" spans="4:6" ht="12.75" hidden="1">
      <c r="D32" s="65">
        <v>8</v>
      </c>
      <c r="E32" s="65">
        <f t="shared" si="0"/>
        <v>0</v>
      </c>
      <c r="F32" s="65">
        <f t="shared" si="1"/>
        <v>0</v>
      </c>
    </row>
    <row r="33" spans="4:7" ht="12.75" hidden="1">
      <c r="D33" s="65">
        <f>SUM(D27:D32)</f>
        <v>288</v>
      </c>
      <c r="E33" s="65">
        <f t="shared" si="0"/>
        <v>0</v>
      </c>
      <c r="F33" s="65">
        <f>SUM(F27:F32)</f>
        <v>0</v>
      </c>
      <c r="G33" s="65">
        <f>F33/D33</f>
        <v>0</v>
      </c>
    </row>
    <row r="34" ht="12.75" hidden="1">
      <c r="E34" s="65">
        <f t="shared" si="0"/>
        <v>0</v>
      </c>
    </row>
    <row r="35" spans="4:5" ht="12.75" hidden="1">
      <c r="D35" s="65">
        <f>D33*66</f>
        <v>19008</v>
      </c>
      <c r="E35" s="65">
        <f t="shared" si="0"/>
        <v>0</v>
      </c>
    </row>
    <row r="36" spans="3:5" ht="12.75" hidden="1">
      <c r="C36" s="65">
        <v>11</v>
      </c>
      <c r="D36" s="65">
        <v>11.8</v>
      </c>
      <c r="E36" s="65">
        <f t="shared" si="0"/>
        <v>129.8</v>
      </c>
    </row>
    <row r="37" spans="2:5" ht="12.75" hidden="1">
      <c r="B37" s="87">
        <f>SUM(C24:C36)</f>
        <v>216</v>
      </c>
      <c r="C37" s="87">
        <f>SUM(C23:C36)</f>
        <v>291</v>
      </c>
      <c r="E37" s="65">
        <f>SUM(E23:E36)</f>
        <v>3230.9</v>
      </c>
    </row>
    <row r="38" ht="12.75" hidden="1">
      <c r="E38" s="65">
        <f>E37/C37</f>
        <v>11.10274914089347</v>
      </c>
    </row>
    <row r="39" ht="12.75" hidden="1"/>
    <row r="40" spans="1:7" ht="24.75" customHeight="1">
      <c r="A40" s="131" t="s">
        <v>127</v>
      </c>
      <c r="B40" s="131"/>
      <c r="C40" s="131"/>
      <c r="D40" s="131"/>
      <c r="E40" s="131"/>
      <c r="F40" s="131"/>
      <c r="G40" s="131"/>
    </row>
    <row r="41" ht="12.75">
      <c r="A41" s="86" t="s">
        <v>54</v>
      </c>
    </row>
  </sheetData>
  <sheetProtection selectLockedCells="1" selectUnlockedCells="1"/>
  <mergeCells count="7">
    <mergeCell ref="A40:G40"/>
    <mergeCell ref="A4:G4"/>
    <mergeCell ref="A5:A6"/>
    <mergeCell ref="B5:D5"/>
    <mergeCell ref="E5:E6"/>
    <mergeCell ref="F5:F6"/>
    <mergeCell ref="G5:G6"/>
  </mergeCells>
  <printOptions/>
  <pageMargins left="0.7479166666666667" right="0.7479166666666667" top="0.42986111111111114" bottom="0.42986111111111114" header="0.5118055555555555" footer="0.5118055555555555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K21"/>
  <sheetViews>
    <sheetView workbookViewId="0" topLeftCell="A1">
      <selection activeCell="E32" sqref="E32"/>
    </sheetView>
  </sheetViews>
  <sheetFormatPr defaultColWidth="9.140625" defaultRowHeight="12.75"/>
  <cols>
    <col min="1" max="1" width="21.00390625" style="22" customWidth="1"/>
    <col min="2" max="11" width="7.7109375" style="22" customWidth="1"/>
    <col min="12" max="16384" width="9.140625" style="22" customWidth="1"/>
  </cols>
  <sheetData>
    <row r="1" s="10" customFormat="1" ht="81.75" customHeight="1"/>
    <row r="2" s="10" customFormat="1" ht="12.75"/>
    <row r="3" spans="1:10" ht="16.5" customHeight="1">
      <c r="A3" s="41" t="s">
        <v>114</v>
      </c>
      <c r="B3" s="21"/>
      <c r="C3" s="39"/>
      <c r="D3" s="20"/>
      <c r="E3" s="14"/>
      <c r="G3" s="14"/>
      <c r="J3" s="14"/>
    </row>
    <row r="4" spans="1:11" s="23" customFormat="1" ht="12.75">
      <c r="A4" s="137"/>
      <c r="B4" s="139" t="s">
        <v>126</v>
      </c>
      <c r="C4" s="139"/>
      <c r="D4" s="139"/>
      <c r="E4" s="139"/>
      <c r="F4" s="139"/>
      <c r="G4" s="139"/>
      <c r="H4" s="139"/>
      <c r="I4" s="139"/>
      <c r="J4" s="139"/>
      <c r="K4" s="139"/>
    </row>
    <row r="5" spans="1:11" ht="18" customHeight="1">
      <c r="A5" s="138"/>
      <c r="B5" s="14">
        <v>2008</v>
      </c>
      <c r="C5" s="14">
        <v>2009</v>
      </c>
      <c r="D5" s="14">
        <v>2010</v>
      </c>
      <c r="E5" s="40">
        <v>2011</v>
      </c>
      <c r="F5" s="14">
        <v>2012</v>
      </c>
      <c r="G5" s="40">
        <v>2013</v>
      </c>
      <c r="H5" s="40">
        <v>2014</v>
      </c>
      <c r="I5" s="14">
        <v>2015</v>
      </c>
      <c r="J5" s="40">
        <v>2016</v>
      </c>
      <c r="K5" s="14">
        <v>2017</v>
      </c>
    </row>
    <row r="6" spans="1:11" ht="17.25" customHeight="1">
      <c r="A6" s="36" t="s">
        <v>57</v>
      </c>
      <c r="B6" s="35">
        <v>1392</v>
      </c>
      <c r="C6" s="35">
        <v>1285</v>
      </c>
      <c r="D6" s="35">
        <v>757</v>
      </c>
      <c r="E6" s="36">
        <v>876</v>
      </c>
      <c r="F6" s="36">
        <v>564</v>
      </c>
      <c r="G6" s="36">
        <v>411</v>
      </c>
      <c r="H6" s="36">
        <v>304</v>
      </c>
      <c r="I6" s="36">
        <v>231</v>
      </c>
      <c r="J6" s="36">
        <v>58</v>
      </c>
      <c r="K6" s="36">
        <v>297</v>
      </c>
    </row>
    <row r="7" spans="1:11" ht="17.25" customHeight="1">
      <c r="A7" s="50" t="s">
        <v>62</v>
      </c>
      <c r="B7" s="51">
        <v>339</v>
      </c>
      <c r="C7" s="51">
        <v>258</v>
      </c>
      <c r="D7" s="51">
        <v>94</v>
      </c>
      <c r="E7" s="50">
        <v>101</v>
      </c>
      <c r="F7" s="50">
        <v>106</v>
      </c>
      <c r="G7" s="50">
        <v>72</v>
      </c>
      <c r="H7" s="50">
        <v>107</v>
      </c>
      <c r="I7" s="50">
        <v>92</v>
      </c>
      <c r="J7" s="50">
        <v>18</v>
      </c>
      <c r="K7" s="50">
        <v>18</v>
      </c>
    </row>
    <row r="8" spans="1:11" ht="17.25" customHeight="1">
      <c r="A8" s="50" t="s">
        <v>63</v>
      </c>
      <c r="B8" s="51">
        <v>48</v>
      </c>
      <c r="C8" s="51">
        <v>41</v>
      </c>
      <c r="D8" s="51">
        <v>69</v>
      </c>
      <c r="E8" s="50">
        <v>51</v>
      </c>
      <c r="F8" s="50">
        <v>69</v>
      </c>
      <c r="G8" s="50">
        <v>12</v>
      </c>
      <c r="H8" s="50">
        <v>16</v>
      </c>
      <c r="I8" s="50">
        <v>17</v>
      </c>
      <c r="J8" s="50">
        <v>2</v>
      </c>
      <c r="K8" s="50">
        <v>15</v>
      </c>
    </row>
    <row r="9" spans="1:11" ht="17.25" customHeight="1">
      <c r="A9" s="50" t="s">
        <v>64</v>
      </c>
      <c r="B9" s="51">
        <v>1005</v>
      </c>
      <c r="C9" s="51">
        <v>986</v>
      </c>
      <c r="D9" s="51">
        <v>594</v>
      </c>
      <c r="E9" s="50">
        <v>724</v>
      </c>
      <c r="F9" s="50">
        <v>389</v>
      </c>
      <c r="G9" s="50">
        <v>327</v>
      </c>
      <c r="H9" s="50">
        <v>181</v>
      </c>
      <c r="I9" s="50">
        <v>122</v>
      </c>
      <c r="J9" s="50">
        <v>38</v>
      </c>
      <c r="K9" s="50">
        <f>6+78+175+5</f>
        <v>264</v>
      </c>
    </row>
    <row r="10" spans="1:11" ht="17.25" customHeight="1">
      <c r="A10" s="14" t="s">
        <v>65</v>
      </c>
      <c r="B10" s="52">
        <v>13010</v>
      </c>
      <c r="C10" s="52">
        <v>10463</v>
      </c>
      <c r="D10" s="52">
        <v>3047</v>
      </c>
      <c r="E10" s="52">
        <v>4015</v>
      </c>
      <c r="F10" s="52">
        <v>3355</v>
      </c>
      <c r="G10" s="52">
        <v>2550</v>
      </c>
      <c r="H10" s="52">
        <v>4067</v>
      </c>
      <c r="I10" s="52">
        <v>1397</v>
      </c>
      <c r="J10" s="52">
        <v>290</v>
      </c>
      <c r="K10" s="52">
        <f>7+1585+715+163</f>
        <v>2470</v>
      </c>
    </row>
    <row r="11" ht="12.75">
      <c r="A11" s="24" t="s">
        <v>91</v>
      </c>
    </row>
    <row r="12" spans="1:6" ht="12.75">
      <c r="A12" s="49" t="s">
        <v>84</v>
      </c>
      <c r="B12" s="53"/>
      <c r="C12" s="53"/>
      <c r="D12" s="53"/>
      <c r="E12" s="53"/>
      <c r="F12" s="53"/>
    </row>
    <row r="14" ht="12.75">
      <c r="D14" s="53"/>
    </row>
    <row r="21" ht="12.75">
      <c r="D21" s="53"/>
    </row>
  </sheetData>
  <sheetProtection/>
  <mergeCells count="2">
    <mergeCell ref="A4:A5"/>
    <mergeCell ref="B4:K4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26"/>
  <sheetViews>
    <sheetView showGridLines="0" workbookViewId="0" topLeftCell="A1">
      <selection activeCell="A34" sqref="A34"/>
    </sheetView>
  </sheetViews>
  <sheetFormatPr defaultColWidth="8.00390625" defaultRowHeight="12.75"/>
  <cols>
    <col min="1" max="1" width="26.421875" style="1" customWidth="1"/>
    <col min="2" max="19" width="8.421875" style="1" customWidth="1"/>
    <col min="20" max="16384" width="8.00390625" style="1" customWidth="1"/>
  </cols>
  <sheetData>
    <row r="1" s="10" customFormat="1" ht="81.75" customHeight="1"/>
    <row r="2" s="10" customFormat="1" ht="12.75"/>
    <row r="3" ht="15" customHeight="1">
      <c r="A3" s="9" t="s">
        <v>123</v>
      </c>
    </row>
    <row r="4" spans="1:19" ht="12.75">
      <c r="A4" s="42"/>
      <c r="B4" s="43">
        <v>2000</v>
      </c>
      <c r="C4" s="43">
        <v>2001</v>
      </c>
      <c r="D4" s="43">
        <v>2002</v>
      </c>
      <c r="E4" s="43">
        <v>2003</v>
      </c>
      <c r="F4" s="43">
        <v>2004</v>
      </c>
      <c r="G4" s="43">
        <v>2005</v>
      </c>
      <c r="H4" s="43">
        <v>2006</v>
      </c>
      <c r="I4" s="43">
        <v>2007</v>
      </c>
      <c r="J4" s="43">
        <v>2008</v>
      </c>
      <c r="K4" s="43">
        <v>2009</v>
      </c>
      <c r="L4" s="15">
        <v>2010</v>
      </c>
      <c r="M4" s="43">
        <v>2011</v>
      </c>
      <c r="N4" s="15">
        <v>2012</v>
      </c>
      <c r="O4" s="43">
        <v>2013</v>
      </c>
      <c r="P4" s="42">
        <v>2014</v>
      </c>
      <c r="Q4" s="43">
        <v>2015</v>
      </c>
      <c r="R4" s="42">
        <v>2016</v>
      </c>
      <c r="S4" s="43">
        <v>2017</v>
      </c>
    </row>
    <row r="5" ht="12.75">
      <c r="L5" s="10"/>
    </row>
    <row r="6" spans="1:19" ht="12.75">
      <c r="A6" s="56" t="s">
        <v>0</v>
      </c>
      <c r="B6" s="46">
        <v>100</v>
      </c>
      <c r="C6" s="46">
        <v>100.79540815695394</v>
      </c>
      <c r="D6" s="46">
        <v>100.78922302354061</v>
      </c>
      <c r="E6" s="46">
        <v>101.48443201919865</v>
      </c>
      <c r="F6" s="46">
        <v>102.13263400091539</v>
      </c>
      <c r="G6" s="46">
        <v>102.27489206942192</v>
      </c>
      <c r="H6" s="46">
        <v>102.92927918455202</v>
      </c>
      <c r="I6" s="46">
        <v>102.91938297109068</v>
      </c>
      <c r="J6" s="46">
        <v>103.08761859993321</v>
      </c>
      <c r="K6" s="46">
        <v>103.09380373334653</v>
      </c>
      <c r="L6" s="46">
        <v>103.14204777397049</v>
      </c>
      <c r="M6" s="46">
        <v>103.89910810376179</v>
      </c>
      <c r="N6" s="46">
        <v>103.18163262781579</v>
      </c>
      <c r="O6" s="57">
        <v>102.35900988384319</v>
      </c>
      <c r="P6" s="57">
        <v>102.86124271700541</v>
      </c>
      <c r="Q6" s="57">
        <v>103.19276586795978</v>
      </c>
      <c r="R6" s="57">
        <v>104.06734373260431</v>
      </c>
      <c r="S6" s="57">
        <v>105.08417966575539</v>
      </c>
    </row>
    <row r="7" spans="1:19" ht="12.75">
      <c r="A7" s="56" t="s">
        <v>2</v>
      </c>
      <c r="B7" s="46">
        <v>100</v>
      </c>
      <c r="C7" s="46">
        <v>101.23762376237624</v>
      </c>
      <c r="D7" s="46">
        <v>105.6930693069307</v>
      </c>
      <c r="E7" s="46">
        <v>107.17821782178218</v>
      </c>
      <c r="F7" s="46">
        <v>107.17821782178218</v>
      </c>
      <c r="G7" s="46">
        <v>106.68316831683168</v>
      </c>
      <c r="H7" s="46">
        <v>103.21782178217822</v>
      </c>
      <c r="I7" s="46">
        <v>93.31683168316832</v>
      </c>
      <c r="J7" s="46">
        <v>98.01980198019803</v>
      </c>
      <c r="K7" s="46">
        <v>33.16831683168317</v>
      </c>
      <c r="L7" s="46">
        <v>34.900990099009896</v>
      </c>
      <c r="M7" s="46">
        <v>36.633663366336634</v>
      </c>
      <c r="N7" s="46">
        <v>38.86138613861386</v>
      </c>
      <c r="O7" s="57">
        <v>41.336633663366335</v>
      </c>
      <c r="P7" s="57">
        <v>46.53465346534654</v>
      </c>
      <c r="Q7" s="57">
        <v>50.742574257425744</v>
      </c>
      <c r="R7" s="57">
        <v>52.97029702970298</v>
      </c>
      <c r="S7" s="57">
        <v>55.940594059405946</v>
      </c>
    </row>
    <row r="8" spans="1:19" ht="25.5">
      <c r="A8" s="56" t="s">
        <v>55</v>
      </c>
      <c r="B8" s="46">
        <v>100</v>
      </c>
      <c r="C8" s="46">
        <v>104.33757043637793</v>
      </c>
      <c r="D8" s="46">
        <v>110.96841829380159</v>
      </c>
      <c r="E8" s="46">
        <v>116.11846415935001</v>
      </c>
      <c r="F8" s="46">
        <v>118.60830821648538</v>
      </c>
      <c r="G8" s="46">
        <v>118.84418817979294</v>
      </c>
      <c r="H8" s="46">
        <v>118.9752326038527</v>
      </c>
      <c r="I8" s="46">
        <v>119.73529026339929</v>
      </c>
      <c r="J8" s="46">
        <v>119.0931725855065</v>
      </c>
      <c r="K8" s="46">
        <v>117.00956624295635</v>
      </c>
      <c r="L8" s="46">
        <v>114.9390643428122</v>
      </c>
      <c r="M8" s="46">
        <v>116.4460752194994</v>
      </c>
      <c r="N8" s="46">
        <v>116.97025291573844</v>
      </c>
      <c r="O8" s="57">
        <v>115.73843532957673</v>
      </c>
      <c r="P8" s="57">
        <v>113.91691783514612</v>
      </c>
      <c r="Q8" s="57">
        <v>113.5499934477788</v>
      </c>
      <c r="R8" s="57">
        <v>113.57620233259075</v>
      </c>
      <c r="S8" s="57">
        <v>113.52378456296685</v>
      </c>
    </row>
    <row r="9" spans="1:19" ht="12.75">
      <c r="A9" s="56" t="s">
        <v>3</v>
      </c>
      <c r="B9" s="46">
        <v>100</v>
      </c>
      <c r="C9" s="46">
        <v>102.97397769516729</v>
      </c>
      <c r="D9" s="46">
        <v>104.46096654275092</v>
      </c>
      <c r="E9" s="46">
        <v>111.15241635687731</v>
      </c>
      <c r="F9" s="46">
        <v>109.66542750929369</v>
      </c>
      <c r="G9" s="46">
        <v>108.55018587360594</v>
      </c>
      <c r="H9" s="46">
        <v>100.74349442379183</v>
      </c>
      <c r="I9" s="46">
        <v>103.7174721189591</v>
      </c>
      <c r="J9" s="46">
        <v>106.31970260223049</v>
      </c>
      <c r="K9" s="46">
        <v>107.0631970260223</v>
      </c>
      <c r="L9" s="46">
        <v>111.15241635687731</v>
      </c>
      <c r="M9" s="46">
        <v>106.31970260223049</v>
      </c>
      <c r="N9" s="46">
        <v>109.29368029739777</v>
      </c>
      <c r="O9" s="57">
        <v>111.15241635687731</v>
      </c>
      <c r="P9" s="57">
        <v>107.43494423791822</v>
      </c>
      <c r="Q9" s="57">
        <v>104.46096654275092</v>
      </c>
      <c r="R9" s="57">
        <v>107.0631970260223</v>
      </c>
      <c r="S9" s="57">
        <v>117.4721189591078</v>
      </c>
    </row>
    <row r="10" spans="1:19" ht="12.75" hidden="1">
      <c r="A10" s="56" t="s">
        <v>106</v>
      </c>
      <c r="B10" s="46">
        <v>100</v>
      </c>
      <c r="C10" s="46">
        <v>97.38276990185388</v>
      </c>
      <c r="D10" s="46">
        <v>97.12831697564522</v>
      </c>
      <c r="E10" s="46">
        <v>96.14685568884043</v>
      </c>
      <c r="F10" s="46">
        <v>93.5659760087241</v>
      </c>
      <c r="G10" s="46">
        <v>92.0392584514722</v>
      </c>
      <c r="H10" s="46">
        <v>88.33151581243183</v>
      </c>
      <c r="I10" s="46">
        <v>86.84114867320974</v>
      </c>
      <c r="J10" s="46">
        <v>86.6230461650309</v>
      </c>
      <c r="K10" s="46">
        <v>22.7553616866594</v>
      </c>
      <c r="L10" s="46">
        <v>23.155216284987276</v>
      </c>
      <c r="M10" s="46">
        <v>24.90003635041803</v>
      </c>
      <c r="N10" s="46">
        <v>26.026899309342056</v>
      </c>
      <c r="O10" s="57">
        <v>25.627044711014175</v>
      </c>
      <c r="P10" s="57">
        <v>25.808796801163215</v>
      </c>
      <c r="Q10" s="57">
        <v>26.572155579789168</v>
      </c>
      <c r="R10" s="91" t="s">
        <v>22</v>
      </c>
      <c r="S10" s="57">
        <v>0</v>
      </c>
    </row>
    <row r="11" spans="1:19" ht="12.75">
      <c r="A11" s="56" t="s">
        <v>4</v>
      </c>
      <c r="B11" s="46">
        <v>100</v>
      </c>
      <c r="C11" s="46">
        <v>113.07181024371171</v>
      </c>
      <c r="D11" s="46">
        <v>123.69347061123419</v>
      </c>
      <c r="E11" s="46">
        <v>134.158738433468</v>
      </c>
      <c r="F11" s="46">
        <v>144.07663234719146</v>
      </c>
      <c r="G11" s="46">
        <v>153.9814935488075</v>
      </c>
      <c r="H11" s="46">
        <v>160.8497328294018</v>
      </c>
      <c r="I11" s="46">
        <v>166.45379903557932</v>
      </c>
      <c r="J11" s="46">
        <v>169.17763586602373</v>
      </c>
      <c r="K11" s="46">
        <v>174.807767496416</v>
      </c>
      <c r="L11" s="46">
        <v>177.27095008471264</v>
      </c>
      <c r="M11" s="46">
        <v>179.86445979408313</v>
      </c>
      <c r="N11" s="46">
        <v>181.11560015639253</v>
      </c>
      <c r="O11" s="57">
        <v>179.49954385507624</v>
      </c>
      <c r="P11" s="57">
        <v>178.99126808288804</v>
      </c>
      <c r="Q11" s="57">
        <v>178.0659455232634</v>
      </c>
      <c r="R11" s="57">
        <v>176.00677701029582</v>
      </c>
      <c r="S11" s="57">
        <v>176.59324905512835</v>
      </c>
    </row>
    <row r="12" spans="1:19" ht="25.5">
      <c r="A12" s="56" t="s">
        <v>56</v>
      </c>
      <c r="B12" s="46">
        <v>100</v>
      </c>
      <c r="C12" s="46">
        <v>96.53979238754326</v>
      </c>
      <c r="D12" s="46">
        <v>95.50173010380622</v>
      </c>
      <c r="E12" s="46">
        <v>86.85121107266436</v>
      </c>
      <c r="F12" s="46">
        <v>80.62283737024222</v>
      </c>
      <c r="G12" s="46">
        <v>72.31833910034602</v>
      </c>
      <c r="H12" s="46">
        <v>73.01038062283737</v>
      </c>
      <c r="I12" s="46">
        <v>70.24221453287197</v>
      </c>
      <c r="J12" s="46">
        <v>71.62629757785467</v>
      </c>
      <c r="K12" s="46">
        <v>72.66435986159169</v>
      </c>
      <c r="L12" s="46">
        <v>70.24221453287197</v>
      </c>
      <c r="M12" s="46">
        <v>67.82006920415225</v>
      </c>
      <c r="N12" s="46">
        <v>65.39792387543253</v>
      </c>
      <c r="O12" s="57">
        <v>61.93771626297578</v>
      </c>
      <c r="P12" s="57">
        <v>64.70588235294117</v>
      </c>
      <c r="Q12" s="57">
        <v>62.9757785467128</v>
      </c>
      <c r="R12" s="57">
        <v>63.667820069204154</v>
      </c>
      <c r="S12" s="57">
        <v>61.245674740484425</v>
      </c>
    </row>
    <row r="13" spans="1:19" ht="12.75">
      <c r="A13" s="56" t="s">
        <v>5</v>
      </c>
      <c r="B13" s="46">
        <v>100</v>
      </c>
      <c r="C13" s="46">
        <v>100</v>
      </c>
      <c r="D13" s="46">
        <v>100</v>
      </c>
      <c r="E13" s="46">
        <v>100</v>
      </c>
      <c r="F13" s="46">
        <v>100</v>
      </c>
      <c r="G13" s="46">
        <v>100</v>
      </c>
      <c r="H13" s="46">
        <v>100</v>
      </c>
      <c r="I13" s="46">
        <v>100</v>
      </c>
      <c r="J13" s="46">
        <v>100</v>
      </c>
      <c r="K13" s="46">
        <v>100</v>
      </c>
      <c r="L13" s="46">
        <v>100</v>
      </c>
      <c r="M13" s="46">
        <v>0</v>
      </c>
      <c r="N13" s="46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</row>
    <row r="14" spans="1:19" ht="12.75">
      <c r="A14" s="56"/>
      <c r="B14" s="46"/>
      <c r="O14" s="57"/>
      <c r="S14" s="57"/>
    </row>
    <row r="15" spans="1:19" ht="12.75">
      <c r="A15" s="56" t="s">
        <v>107</v>
      </c>
      <c r="B15" s="46">
        <v>100</v>
      </c>
      <c r="C15" s="46">
        <v>102.0388619443329</v>
      </c>
      <c r="D15" s="46">
        <v>103.41354916437552</v>
      </c>
      <c r="E15" s="46">
        <v>105.22278170790729</v>
      </c>
      <c r="F15" s="46">
        <v>106.71897686200612</v>
      </c>
      <c r="G15" s="46">
        <v>107.60866207407864</v>
      </c>
      <c r="H15" s="46">
        <v>108.67237136119779</v>
      </c>
      <c r="I15" s="46">
        <v>109.12545179327175</v>
      </c>
      <c r="J15" s="46">
        <v>109.46114320430837</v>
      </c>
      <c r="K15" s="46">
        <v>109.48276749765738</v>
      </c>
      <c r="L15" s="46">
        <v>109.56617548628917</v>
      </c>
      <c r="M15" s="46">
        <v>110.49807955680495</v>
      </c>
      <c r="N15" s="46">
        <v>110.05117749425925</v>
      </c>
      <c r="O15" s="57">
        <v>109.14707608662073</v>
      </c>
      <c r="P15" s="46">
        <v>109.40141896553499</v>
      </c>
      <c r="Q15" s="46">
        <v>109.57956195360043</v>
      </c>
      <c r="R15" s="46">
        <v>110.16547733053248</v>
      </c>
      <c r="S15" s="57">
        <v>111.08811384675583</v>
      </c>
    </row>
    <row r="16" spans="1:19" s="47" customFormat="1" ht="12.75">
      <c r="A16" s="3"/>
      <c r="B16" s="2"/>
      <c r="C16" s="2"/>
      <c r="D16" s="2"/>
      <c r="E16" s="2"/>
      <c r="F16" s="2"/>
      <c r="G16" s="3"/>
      <c r="H16" s="2"/>
      <c r="I16" s="2"/>
      <c r="J16" s="2"/>
      <c r="K16" s="2"/>
      <c r="L16" s="18"/>
      <c r="M16" s="18"/>
      <c r="N16" s="18"/>
      <c r="O16" s="2"/>
      <c r="P16" s="2"/>
      <c r="Q16" s="2"/>
      <c r="R16" s="2"/>
      <c r="S16" s="2"/>
    </row>
    <row r="17" s="10" customFormat="1" ht="3" customHeight="1"/>
    <row r="18" ht="12.75">
      <c r="A18" s="90" t="s">
        <v>96</v>
      </c>
    </row>
    <row r="19" ht="12.75">
      <c r="A19" s="55" t="s">
        <v>1</v>
      </c>
    </row>
    <row r="20" ht="12.75">
      <c r="A20" s="56"/>
    </row>
    <row r="21" ht="12.75">
      <c r="A21" s="56"/>
    </row>
    <row r="22" ht="12.75">
      <c r="A22" s="56"/>
    </row>
    <row r="23" ht="12.75">
      <c r="A23" s="56"/>
    </row>
    <row r="24" ht="12.75">
      <c r="A24" s="56"/>
    </row>
    <row r="25" ht="12.75">
      <c r="A25" s="56"/>
    </row>
    <row r="26" ht="12.75">
      <c r="A26" s="56"/>
    </row>
  </sheetData>
  <sheetProtection/>
  <printOptions/>
  <pageMargins left="0.3937007874015748" right="0.4724409448818898" top="0.69" bottom="0.66" header="0.5118110236220472" footer="0.5118110236220472"/>
  <pageSetup fitToHeight="2" fitToWidth="2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21"/>
  <sheetViews>
    <sheetView showGridLines="0" workbookViewId="0" topLeftCell="A1">
      <selection activeCell="P33" sqref="P33"/>
    </sheetView>
  </sheetViews>
  <sheetFormatPr defaultColWidth="8.00390625" defaultRowHeight="12.75"/>
  <cols>
    <col min="1" max="1" width="26.57421875" style="1" customWidth="1"/>
    <col min="2" max="17" width="8.421875" style="1" customWidth="1"/>
    <col min="18" max="16384" width="8.00390625" style="1" customWidth="1"/>
  </cols>
  <sheetData>
    <row r="1" s="10" customFormat="1" ht="81.75" customHeight="1"/>
    <row r="2" s="10" customFormat="1" ht="12.75"/>
    <row r="3" ht="19.5" customHeight="1">
      <c r="A3" s="9" t="s">
        <v>122</v>
      </c>
    </row>
    <row r="4" spans="1:19" ht="15" customHeight="1">
      <c r="A4" s="42"/>
      <c r="B4" s="43">
        <v>2000</v>
      </c>
      <c r="C4" s="43">
        <v>2001</v>
      </c>
      <c r="D4" s="43">
        <v>2002</v>
      </c>
      <c r="E4" s="43">
        <v>2003</v>
      </c>
      <c r="F4" s="43">
        <v>2004</v>
      </c>
      <c r="G4" s="43">
        <v>2005</v>
      </c>
      <c r="H4" s="43">
        <v>2006</v>
      </c>
      <c r="I4" s="43">
        <v>2007</v>
      </c>
      <c r="J4" s="43">
        <v>2008</v>
      </c>
      <c r="K4" s="43">
        <v>2009</v>
      </c>
      <c r="L4" s="43">
        <v>2010</v>
      </c>
      <c r="M4" s="43">
        <v>2011</v>
      </c>
      <c r="N4" s="43">
        <v>2012</v>
      </c>
      <c r="O4" s="43">
        <v>2013</v>
      </c>
      <c r="P4" s="43">
        <v>2014</v>
      </c>
      <c r="Q4" s="43">
        <v>2015</v>
      </c>
      <c r="R4" s="43">
        <v>2016</v>
      </c>
      <c r="S4" s="43">
        <v>2017</v>
      </c>
    </row>
    <row r="5" spans="1:12" s="109" customFormat="1" ht="12.75">
      <c r="A5" s="108"/>
      <c r="D5" s="110"/>
      <c r="L5" s="1"/>
    </row>
    <row r="6" spans="1:19" s="109" customFormat="1" ht="12.75" customHeight="1">
      <c r="A6" s="111" t="s">
        <v>0</v>
      </c>
      <c r="B6" s="112">
        <v>6298</v>
      </c>
      <c r="C6" s="112">
        <v>6372</v>
      </c>
      <c r="D6" s="112">
        <v>5763</v>
      </c>
      <c r="E6" s="112">
        <v>6076</v>
      </c>
      <c r="F6" s="112">
        <v>6409</v>
      </c>
      <c r="G6" s="112">
        <v>6414</v>
      </c>
      <c r="H6" s="112">
        <v>6184</v>
      </c>
      <c r="I6" s="109">
        <v>6432</v>
      </c>
      <c r="J6" s="113">
        <v>5321</v>
      </c>
      <c r="K6" s="113">
        <v>5796</v>
      </c>
      <c r="L6" s="6">
        <v>4967</v>
      </c>
      <c r="M6" s="6">
        <v>4784</v>
      </c>
      <c r="N6" s="6">
        <v>3749</v>
      </c>
      <c r="O6" s="6">
        <v>3759</v>
      </c>
      <c r="P6" s="6">
        <v>3941</v>
      </c>
      <c r="Q6" s="6">
        <v>4464</v>
      </c>
      <c r="R6" s="6">
        <v>4928</v>
      </c>
      <c r="S6" s="6">
        <v>5004</v>
      </c>
    </row>
    <row r="7" spans="1:19" s="109" customFormat="1" ht="12.75" customHeight="1">
      <c r="A7" s="111" t="s">
        <v>2</v>
      </c>
      <c r="B7" s="112">
        <v>23</v>
      </c>
      <c r="C7" s="112">
        <v>42</v>
      </c>
      <c r="D7" s="112">
        <v>12</v>
      </c>
      <c r="E7" s="112">
        <v>30</v>
      </c>
      <c r="F7" s="112">
        <v>24</v>
      </c>
      <c r="G7" s="112">
        <v>5</v>
      </c>
      <c r="H7" s="109">
        <v>10</v>
      </c>
      <c r="I7" s="109">
        <v>2</v>
      </c>
      <c r="J7" s="109">
        <v>37</v>
      </c>
      <c r="K7" s="109">
        <v>0</v>
      </c>
      <c r="L7" s="7">
        <v>1</v>
      </c>
      <c r="M7" s="7">
        <v>1</v>
      </c>
      <c r="N7" s="7">
        <v>1</v>
      </c>
      <c r="O7" s="7">
        <v>1</v>
      </c>
      <c r="P7" s="7">
        <v>4</v>
      </c>
      <c r="Q7" s="7">
        <v>8</v>
      </c>
      <c r="R7" s="7">
        <v>2</v>
      </c>
      <c r="S7" s="7">
        <v>9</v>
      </c>
    </row>
    <row r="8" spans="1:19" s="109" customFormat="1" ht="25.5">
      <c r="A8" s="56" t="s">
        <v>55</v>
      </c>
      <c r="B8" s="112">
        <v>585</v>
      </c>
      <c r="C8" s="112">
        <v>583</v>
      </c>
      <c r="D8" s="112">
        <v>769</v>
      </c>
      <c r="E8" s="112">
        <v>687</v>
      </c>
      <c r="F8" s="112">
        <v>548</v>
      </c>
      <c r="G8" s="112">
        <v>479</v>
      </c>
      <c r="H8" s="109">
        <v>497</v>
      </c>
      <c r="I8" s="109">
        <v>498</v>
      </c>
      <c r="J8" s="109">
        <v>383</v>
      </c>
      <c r="K8" s="113">
        <v>293</v>
      </c>
      <c r="L8" s="7">
        <v>269</v>
      </c>
      <c r="M8" s="7">
        <v>255</v>
      </c>
      <c r="N8" s="7">
        <v>183</v>
      </c>
      <c r="O8" s="7">
        <v>180</v>
      </c>
      <c r="P8" s="7">
        <v>143</v>
      </c>
      <c r="Q8" s="7">
        <v>266</v>
      </c>
      <c r="R8" s="7">
        <v>259</v>
      </c>
      <c r="S8" s="7">
        <v>267</v>
      </c>
    </row>
    <row r="9" spans="1:19" s="109" customFormat="1" ht="12.75" customHeight="1">
      <c r="A9" s="111" t="s">
        <v>3</v>
      </c>
      <c r="B9" s="112">
        <v>27</v>
      </c>
      <c r="C9" s="112">
        <v>19</v>
      </c>
      <c r="D9" s="112">
        <v>9</v>
      </c>
      <c r="E9" s="112">
        <v>17</v>
      </c>
      <c r="F9" s="112">
        <v>16</v>
      </c>
      <c r="G9" s="112">
        <v>19</v>
      </c>
      <c r="H9" s="109">
        <v>21</v>
      </c>
      <c r="I9" s="109">
        <v>1</v>
      </c>
      <c r="J9" s="109">
        <v>5</v>
      </c>
      <c r="K9" s="109">
        <v>0</v>
      </c>
      <c r="L9" s="7">
        <v>1</v>
      </c>
      <c r="M9" s="7">
        <v>0</v>
      </c>
      <c r="N9" s="7">
        <v>0</v>
      </c>
      <c r="O9" s="7">
        <v>0</v>
      </c>
      <c r="P9" s="7">
        <v>0</v>
      </c>
      <c r="Q9" s="7">
        <v>18</v>
      </c>
      <c r="R9" s="7">
        <v>1</v>
      </c>
      <c r="S9" s="7">
        <v>1</v>
      </c>
    </row>
    <row r="10" spans="1:19" s="109" customFormat="1" ht="12.75" customHeight="1" hidden="1">
      <c r="A10" s="56" t="s">
        <v>106</v>
      </c>
      <c r="B10" s="112">
        <v>71</v>
      </c>
      <c r="C10" s="112">
        <v>60</v>
      </c>
      <c r="D10" s="112">
        <v>44</v>
      </c>
      <c r="E10" s="112">
        <v>50</v>
      </c>
      <c r="F10" s="112">
        <v>18</v>
      </c>
      <c r="G10" s="112">
        <v>19</v>
      </c>
      <c r="H10" s="109">
        <v>12</v>
      </c>
      <c r="I10" s="109">
        <v>13</v>
      </c>
      <c r="J10" s="109">
        <v>3</v>
      </c>
      <c r="K10" s="109">
        <v>2</v>
      </c>
      <c r="L10" s="7">
        <v>0</v>
      </c>
      <c r="M10" s="7">
        <v>3</v>
      </c>
      <c r="N10" s="7">
        <v>3</v>
      </c>
      <c r="O10" s="7">
        <v>1</v>
      </c>
      <c r="P10" s="7">
        <v>1</v>
      </c>
      <c r="Q10" s="7">
        <v>14</v>
      </c>
      <c r="R10" s="114" t="s">
        <v>22</v>
      </c>
      <c r="S10" s="114" t="s">
        <v>22</v>
      </c>
    </row>
    <row r="11" spans="1:19" s="109" customFormat="1" ht="12.75" customHeight="1">
      <c r="A11" s="111" t="s">
        <v>4</v>
      </c>
      <c r="B11" s="112">
        <v>1332</v>
      </c>
      <c r="C11" s="112">
        <v>1068</v>
      </c>
      <c r="D11" s="112">
        <v>869</v>
      </c>
      <c r="E11" s="112">
        <v>1056</v>
      </c>
      <c r="F11" s="112">
        <v>1043</v>
      </c>
      <c r="G11" s="112">
        <v>1056</v>
      </c>
      <c r="H11" s="109">
        <v>930</v>
      </c>
      <c r="I11" s="109">
        <v>944</v>
      </c>
      <c r="J11" s="109">
        <v>782</v>
      </c>
      <c r="K11" s="109">
        <v>875</v>
      </c>
      <c r="L11" s="7">
        <v>689</v>
      </c>
      <c r="M11" s="7">
        <v>508</v>
      </c>
      <c r="N11" s="7">
        <v>422</v>
      </c>
      <c r="O11" s="7">
        <v>356</v>
      </c>
      <c r="P11" s="7">
        <v>356</v>
      </c>
      <c r="Q11" s="7">
        <v>385</v>
      </c>
      <c r="R11" s="7">
        <v>401</v>
      </c>
      <c r="S11" s="7">
        <v>391</v>
      </c>
    </row>
    <row r="12" spans="1:19" s="109" customFormat="1" ht="25.5">
      <c r="A12" s="56" t="s">
        <v>118</v>
      </c>
      <c r="B12" s="112">
        <v>7</v>
      </c>
      <c r="C12" s="112">
        <v>4</v>
      </c>
      <c r="D12" s="112">
        <v>5</v>
      </c>
      <c r="E12" s="112">
        <v>4</v>
      </c>
      <c r="F12" s="112">
        <v>23</v>
      </c>
      <c r="G12" s="112">
        <v>6</v>
      </c>
      <c r="H12" s="109">
        <v>13</v>
      </c>
      <c r="I12" s="109">
        <v>7</v>
      </c>
      <c r="J12" s="109">
        <v>7</v>
      </c>
      <c r="K12" s="109">
        <v>8</v>
      </c>
      <c r="L12" s="7">
        <v>1</v>
      </c>
      <c r="M12" s="7">
        <v>1</v>
      </c>
      <c r="N12" s="7">
        <v>0</v>
      </c>
      <c r="O12" s="7">
        <v>1</v>
      </c>
      <c r="P12" s="7">
        <v>1</v>
      </c>
      <c r="Q12" s="7">
        <v>0</v>
      </c>
      <c r="R12" s="7">
        <v>5</v>
      </c>
      <c r="S12" s="7">
        <v>1</v>
      </c>
    </row>
    <row r="13" spans="1:19" s="109" customFormat="1" ht="12.75" customHeight="1" hidden="1">
      <c r="A13" s="111" t="s">
        <v>5</v>
      </c>
      <c r="B13" s="112">
        <v>0</v>
      </c>
      <c r="C13" s="112">
        <v>0</v>
      </c>
      <c r="D13" s="112">
        <v>0</v>
      </c>
      <c r="E13" s="112">
        <v>9</v>
      </c>
      <c r="F13" s="112">
        <v>0</v>
      </c>
      <c r="G13" s="112">
        <v>0</v>
      </c>
      <c r="H13" s="109">
        <v>0</v>
      </c>
      <c r="I13" s="109">
        <v>0</v>
      </c>
      <c r="J13" s="109">
        <v>0</v>
      </c>
      <c r="K13" s="109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6</v>
      </c>
      <c r="S13" s="7">
        <v>4</v>
      </c>
    </row>
    <row r="14" spans="1:19" s="109" customFormat="1" ht="7.5" customHeight="1">
      <c r="A14" s="115"/>
      <c r="B14" s="116"/>
      <c r="C14" s="113"/>
      <c r="D14" s="113"/>
      <c r="L14" s="1"/>
      <c r="M14" s="1"/>
      <c r="N14" s="1"/>
      <c r="O14" s="1"/>
      <c r="P14" s="1"/>
      <c r="Q14" s="1"/>
      <c r="R14" s="1"/>
      <c r="S14" s="1"/>
    </row>
    <row r="15" spans="1:19" s="109" customFormat="1" ht="12.75" customHeight="1">
      <c r="A15" s="115" t="s">
        <v>107</v>
      </c>
      <c r="B15" s="112">
        <v>8272</v>
      </c>
      <c r="C15" s="112">
        <v>8088</v>
      </c>
      <c r="D15" s="112">
        <v>7427</v>
      </c>
      <c r="E15" s="112">
        <v>7879</v>
      </c>
      <c r="F15" s="112">
        <v>8063</v>
      </c>
      <c r="G15" s="112">
        <v>7979</v>
      </c>
      <c r="H15" s="112">
        <v>7655</v>
      </c>
      <c r="I15" s="112">
        <v>7884</v>
      </c>
      <c r="J15" s="112">
        <v>6535</v>
      </c>
      <c r="K15" s="112">
        <v>6972</v>
      </c>
      <c r="L15" s="112">
        <v>5928</v>
      </c>
      <c r="M15" s="112">
        <v>5549</v>
      </c>
      <c r="N15" s="112">
        <v>4355</v>
      </c>
      <c r="O15" s="112">
        <v>4297</v>
      </c>
      <c r="P15" s="112">
        <v>4445</v>
      </c>
      <c r="Q15" s="112">
        <v>5141</v>
      </c>
      <c r="R15" s="112">
        <v>5602</v>
      </c>
      <c r="S15" s="112">
        <v>5677</v>
      </c>
    </row>
    <row r="16" spans="1:19" s="109" customFormat="1" ht="7.5" customHeight="1">
      <c r="A16" s="117"/>
      <c r="B16" s="118"/>
      <c r="C16" s="119"/>
      <c r="D16" s="119"/>
      <c r="E16" s="119"/>
      <c r="F16" s="119"/>
      <c r="G16" s="119"/>
      <c r="H16" s="119"/>
      <c r="I16" s="119"/>
      <c r="J16" s="119"/>
      <c r="K16" s="119"/>
      <c r="L16" s="8"/>
      <c r="M16" s="8"/>
      <c r="N16" s="8"/>
      <c r="O16" s="8"/>
      <c r="P16" s="120"/>
      <c r="Q16" s="120"/>
      <c r="R16" s="120"/>
      <c r="S16" s="120"/>
    </row>
    <row r="17" spans="2:7" s="109" customFormat="1" ht="4.5" customHeight="1">
      <c r="B17" s="116"/>
      <c r="C17" s="112"/>
      <c r="D17" s="112"/>
      <c r="E17" s="112"/>
      <c r="F17" s="112"/>
      <c r="G17" s="112"/>
    </row>
    <row r="18" ht="12.75">
      <c r="A18" s="90" t="s">
        <v>96</v>
      </c>
    </row>
    <row r="19" spans="1:15" ht="12.75">
      <c r="A19" s="55" t="s">
        <v>1</v>
      </c>
      <c r="O19" s="6"/>
    </row>
    <row r="20" ht="12.75">
      <c r="A20" s="33"/>
    </row>
    <row r="21" ht="12.75">
      <c r="A21" s="33"/>
    </row>
  </sheetData>
  <sheetProtection/>
  <printOptions/>
  <pageMargins left="0.6" right="0.57" top="0.73" bottom="0.75" header="0.5118110236220472" footer="0.5118110236220472"/>
  <pageSetup horizontalDpi="300" verticalDpi="3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S19"/>
  <sheetViews>
    <sheetView showGridLines="0" workbookViewId="0" topLeftCell="A1">
      <selection activeCell="D32" sqref="D32"/>
    </sheetView>
  </sheetViews>
  <sheetFormatPr defaultColWidth="8.00390625" defaultRowHeight="12.75"/>
  <cols>
    <col min="1" max="1" width="26.421875" style="1" customWidth="1"/>
    <col min="2" max="17" width="8.421875" style="1" customWidth="1"/>
    <col min="18" max="16384" width="8.00390625" style="1" customWidth="1"/>
  </cols>
  <sheetData>
    <row r="1" s="10" customFormat="1" ht="81.75" customHeight="1"/>
    <row r="2" s="10" customFormat="1" ht="12.75"/>
    <row r="3" ht="16.5" customHeight="1">
      <c r="A3" s="9" t="s">
        <v>119</v>
      </c>
    </row>
    <row r="4" spans="1:19" ht="12.75">
      <c r="A4" s="42"/>
      <c r="B4" s="43">
        <v>2000</v>
      </c>
      <c r="C4" s="43">
        <v>2001</v>
      </c>
      <c r="D4" s="43">
        <v>2002</v>
      </c>
      <c r="E4" s="43">
        <v>2003</v>
      </c>
      <c r="F4" s="43">
        <v>2004</v>
      </c>
      <c r="G4" s="43">
        <v>2005</v>
      </c>
      <c r="H4" s="43">
        <v>2006</v>
      </c>
      <c r="I4" s="43">
        <v>2007</v>
      </c>
      <c r="J4" s="43">
        <v>2008</v>
      </c>
      <c r="K4" s="43">
        <v>2009</v>
      </c>
      <c r="L4" s="43">
        <v>2010</v>
      </c>
      <c r="M4" s="43">
        <v>2011</v>
      </c>
      <c r="N4" s="43">
        <v>2012</v>
      </c>
      <c r="O4" s="43">
        <v>2013</v>
      </c>
      <c r="P4" s="43">
        <v>2014</v>
      </c>
      <c r="Q4" s="43">
        <v>2015</v>
      </c>
      <c r="R4" s="43">
        <v>2016</v>
      </c>
      <c r="S4" s="43">
        <v>2017</v>
      </c>
    </row>
    <row r="5" ht="6.75" customHeight="1">
      <c r="A5" s="56"/>
    </row>
    <row r="6" spans="1:19" ht="12.75">
      <c r="A6" s="111" t="s">
        <v>0</v>
      </c>
      <c r="B6" s="57">
        <v>100</v>
      </c>
      <c r="C6" s="57">
        <v>101.17497618291522</v>
      </c>
      <c r="D6" s="57">
        <v>91.50523975865354</v>
      </c>
      <c r="E6" s="57">
        <v>96.47507145125437</v>
      </c>
      <c r="F6" s="57">
        <v>101.7624642743728</v>
      </c>
      <c r="G6" s="57">
        <v>101.84185455700224</v>
      </c>
      <c r="H6" s="57">
        <v>98.18990155604953</v>
      </c>
      <c r="I6" s="57">
        <v>102.12765957446808</v>
      </c>
      <c r="J6" s="57">
        <v>84.48713877421403</v>
      </c>
      <c r="K6" s="57">
        <v>92.02921562400762</v>
      </c>
      <c r="L6" s="57">
        <v>78.86630676405208</v>
      </c>
      <c r="M6" s="57">
        <v>75.96062241981582</v>
      </c>
      <c r="N6" s="57">
        <v>59.52683391552874</v>
      </c>
      <c r="O6" s="57">
        <v>59.68561448078755</v>
      </c>
      <c r="P6" s="57">
        <v>62.575420768497935</v>
      </c>
      <c r="Q6" s="57">
        <v>70.87964433153383</v>
      </c>
      <c r="R6" s="57">
        <v>78.24706255954271</v>
      </c>
      <c r="S6" s="57">
        <v>79.45379485550968</v>
      </c>
    </row>
    <row r="7" spans="1:19" ht="12.75">
      <c r="A7" s="111" t="s">
        <v>2</v>
      </c>
      <c r="B7" s="57">
        <v>100</v>
      </c>
      <c r="C7" s="57">
        <v>182.6086956521739</v>
      </c>
      <c r="D7" s="57">
        <v>52.17391304347826</v>
      </c>
      <c r="E7" s="57">
        <v>130.43478260869566</v>
      </c>
      <c r="F7" s="57">
        <v>104.34782608695652</v>
      </c>
      <c r="G7" s="57">
        <v>21.73913043478261</v>
      </c>
      <c r="H7" s="57">
        <v>43.47826086956522</v>
      </c>
      <c r="I7" s="57">
        <v>8.695652173913043</v>
      </c>
      <c r="J7" s="57">
        <v>160.8695652173913</v>
      </c>
      <c r="K7" s="57">
        <v>0</v>
      </c>
      <c r="L7" s="57">
        <v>4.3478260869565215</v>
      </c>
      <c r="M7" s="57">
        <v>4.3478260869565215</v>
      </c>
      <c r="N7" s="57">
        <v>4.3478260869565215</v>
      </c>
      <c r="O7" s="57">
        <v>4.3478260869565215</v>
      </c>
      <c r="P7" s="57">
        <v>17.391304347826086</v>
      </c>
      <c r="Q7" s="57">
        <v>34.78260869565217</v>
      </c>
      <c r="R7" s="57">
        <v>8.695652173913043</v>
      </c>
      <c r="S7" s="57">
        <v>39.130434782608695</v>
      </c>
    </row>
    <row r="8" spans="1:19" ht="25.5">
      <c r="A8" s="111" t="s">
        <v>55</v>
      </c>
      <c r="B8" s="57">
        <v>100</v>
      </c>
      <c r="C8" s="57">
        <v>99.65811965811966</v>
      </c>
      <c r="D8" s="57">
        <v>131.45299145299145</v>
      </c>
      <c r="E8" s="57">
        <v>117.43589743589745</v>
      </c>
      <c r="F8" s="57">
        <v>93.67521367521367</v>
      </c>
      <c r="G8" s="57">
        <v>81.88034188034187</v>
      </c>
      <c r="H8" s="57">
        <v>84.95726495726495</v>
      </c>
      <c r="I8" s="57">
        <v>85.12820512820512</v>
      </c>
      <c r="J8" s="57">
        <v>65.47008547008546</v>
      </c>
      <c r="K8" s="57">
        <v>50.085470085470085</v>
      </c>
      <c r="L8" s="57">
        <v>45.98290598290598</v>
      </c>
      <c r="M8" s="57">
        <v>43.58974358974359</v>
      </c>
      <c r="N8" s="57">
        <v>31.28205128205128</v>
      </c>
      <c r="O8" s="57">
        <v>30.76923076923077</v>
      </c>
      <c r="P8" s="57">
        <v>24.444444444444443</v>
      </c>
      <c r="Q8" s="57">
        <v>45.47008547008547</v>
      </c>
      <c r="R8" s="57">
        <v>44.27350427350427</v>
      </c>
      <c r="S8" s="57">
        <v>45.64102564102564</v>
      </c>
    </row>
    <row r="9" spans="1:19" ht="12.75">
      <c r="A9" s="56" t="s">
        <v>3</v>
      </c>
      <c r="B9" s="57">
        <v>100</v>
      </c>
      <c r="C9" s="57">
        <v>70.37037037037037</v>
      </c>
      <c r="D9" s="57">
        <v>33.33333333333333</v>
      </c>
      <c r="E9" s="57">
        <v>62.96296296296296</v>
      </c>
      <c r="F9" s="57">
        <v>59.25925925925925</v>
      </c>
      <c r="G9" s="57">
        <v>70.37037037037037</v>
      </c>
      <c r="H9" s="57">
        <v>77.77777777777779</v>
      </c>
      <c r="I9" s="57">
        <v>3.7037037037037033</v>
      </c>
      <c r="J9" s="57">
        <v>18.51851851851852</v>
      </c>
      <c r="K9" s="57">
        <v>0</v>
      </c>
      <c r="L9" s="57">
        <v>3.7037037037037033</v>
      </c>
      <c r="M9" s="57">
        <v>0</v>
      </c>
      <c r="N9" s="57">
        <v>0</v>
      </c>
      <c r="O9" s="57">
        <v>0</v>
      </c>
      <c r="P9" s="57">
        <v>0</v>
      </c>
      <c r="Q9" s="57">
        <v>66.66666666666666</v>
      </c>
      <c r="R9" s="57">
        <v>3.7037037037037033</v>
      </c>
      <c r="S9" s="57">
        <v>3.7037037037037033</v>
      </c>
    </row>
    <row r="10" spans="1:19" ht="12.75" hidden="1">
      <c r="A10" s="111" t="s">
        <v>120</v>
      </c>
      <c r="B10" s="57">
        <v>100</v>
      </c>
      <c r="C10" s="57">
        <v>84.50704225352112</v>
      </c>
      <c r="D10" s="57">
        <v>61.97183098591549</v>
      </c>
      <c r="E10" s="57">
        <v>70.4225352112676</v>
      </c>
      <c r="F10" s="57">
        <v>25.352112676056336</v>
      </c>
      <c r="G10" s="57">
        <v>26.76056338028169</v>
      </c>
      <c r="H10" s="57">
        <v>16.901408450704224</v>
      </c>
      <c r="I10" s="57">
        <v>18.30985915492958</v>
      </c>
      <c r="J10" s="57">
        <v>4.225352112676056</v>
      </c>
      <c r="K10" s="57">
        <v>2.8169014084507045</v>
      </c>
      <c r="L10" s="57">
        <v>0</v>
      </c>
      <c r="M10" s="57">
        <v>4.225352112676056</v>
      </c>
      <c r="N10" s="57">
        <v>4.225352112676056</v>
      </c>
      <c r="O10" s="57">
        <v>1.4084507042253522</v>
      </c>
      <c r="P10" s="57">
        <v>1.4084507042253522</v>
      </c>
      <c r="Q10" s="57">
        <v>19.718309859154928</v>
      </c>
      <c r="R10" s="57" t="s">
        <v>22</v>
      </c>
      <c r="S10" s="57" t="s">
        <v>22</v>
      </c>
    </row>
    <row r="11" spans="1:19" ht="12.75">
      <c r="A11" s="111" t="s">
        <v>4</v>
      </c>
      <c r="B11" s="57">
        <v>100</v>
      </c>
      <c r="C11" s="57">
        <v>80.18018018018019</v>
      </c>
      <c r="D11" s="57">
        <v>65.24024024024024</v>
      </c>
      <c r="E11" s="57">
        <v>79.27927927927928</v>
      </c>
      <c r="F11" s="57">
        <v>78.30330330330331</v>
      </c>
      <c r="G11" s="57">
        <v>79.27927927927928</v>
      </c>
      <c r="H11" s="57">
        <v>69.81981981981981</v>
      </c>
      <c r="I11" s="57">
        <v>70.87087087087087</v>
      </c>
      <c r="J11" s="57">
        <v>58.70870870870871</v>
      </c>
      <c r="K11" s="57">
        <v>65.69069069069069</v>
      </c>
      <c r="L11" s="57">
        <v>51.726726726726724</v>
      </c>
      <c r="M11" s="57">
        <v>38.13813813813814</v>
      </c>
      <c r="N11" s="57">
        <v>31.681681681681685</v>
      </c>
      <c r="O11" s="57">
        <v>26.726726726726728</v>
      </c>
      <c r="P11" s="57">
        <v>26.726726726726728</v>
      </c>
      <c r="Q11" s="57">
        <v>28.903903903903906</v>
      </c>
      <c r="R11" s="57">
        <v>30.105105105105107</v>
      </c>
      <c r="S11" s="57">
        <v>29.354354354354356</v>
      </c>
    </row>
    <row r="12" spans="1:19" ht="25.5">
      <c r="A12" s="56" t="s">
        <v>118</v>
      </c>
      <c r="B12" s="57">
        <v>100</v>
      </c>
      <c r="C12" s="57">
        <v>57.14285714285714</v>
      </c>
      <c r="D12" s="57">
        <v>71.42857142857143</v>
      </c>
      <c r="E12" s="57">
        <v>57.14285714285714</v>
      </c>
      <c r="F12" s="57">
        <v>328.57142857142856</v>
      </c>
      <c r="G12" s="57">
        <v>85.71428571428571</v>
      </c>
      <c r="H12" s="57">
        <v>185.71428571428572</v>
      </c>
      <c r="I12" s="57">
        <v>100</v>
      </c>
      <c r="J12" s="57">
        <v>100</v>
      </c>
      <c r="K12" s="57">
        <v>114.28571428571428</v>
      </c>
      <c r="L12" s="57">
        <v>14.285714285714285</v>
      </c>
      <c r="M12" s="57">
        <v>14.285714285714285</v>
      </c>
      <c r="N12" s="57">
        <v>0</v>
      </c>
      <c r="O12" s="57">
        <v>14.285714285714285</v>
      </c>
      <c r="P12" s="57">
        <v>14.285714285714285</v>
      </c>
      <c r="Q12" s="57">
        <v>0</v>
      </c>
      <c r="R12" s="57">
        <v>71.42857142857143</v>
      </c>
      <c r="S12" s="57">
        <v>14.285714285714285</v>
      </c>
    </row>
    <row r="13" spans="1:19" ht="12.75" hidden="1">
      <c r="A13" s="111" t="s">
        <v>5</v>
      </c>
      <c r="B13" s="57" t="s">
        <v>22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</row>
    <row r="14" spans="2:19" ht="12.75"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</row>
    <row r="15" spans="1:19" ht="12.75">
      <c r="A15" s="4" t="s">
        <v>107</v>
      </c>
      <c r="B15" s="121">
        <v>100</v>
      </c>
      <c r="C15" s="121">
        <v>97.77562862669245</v>
      </c>
      <c r="D15" s="121">
        <v>89.7848162475822</v>
      </c>
      <c r="E15" s="121">
        <v>95.2490328820116</v>
      </c>
      <c r="F15" s="121">
        <v>97.47340425531915</v>
      </c>
      <c r="G15" s="121">
        <v>96.45793036750484</v>
      </c>
      <c r="H15" s="121">
        <v>92.54110251450676</v>
      </c>
      <c r="I15" s="121">
        <v>95.30947775628627</v>
      </c>
      <c r="J15" s="121">
        <v>79.00145067698259</v>
      </c>
      <c r="K15" s="121">
        <v>84.28433268858801</v>
      </c>
      <c r="L15" s="121">
        <v>71.66344294003868</v>
      </c>
      <c r="M15" s="121">
        <v>67.08172147001935</v>
      </c>
      <c r="N15" s="121">
        <v>52.64748549323017</v>
      </c>
      <c r="O15" s="121">
        <v>51.946324951644094</v>
      </c>
      <c r="P15" s="121">
        <v>53.73549323017408</v>
      </c>
      <c r="Q15" s="121">
        <v>62.14941972920697</v>
      </c>
      <c r="R15" s="121">
        <v>67.72243713733076</v>
      </c>
      <c r="S15" s="57">
        <v>68.62911025145067</v>
      </c>
    </row>
    <row r="16" spans="1:19" ht="9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ht="4.5" customHeight="1"/>
    <row r="18" ht="12.75">
      <c r="A18" s="90" t="s">
        <v>96</v>
      </c>
    </row>
    <row r="19" ht="12.75">
      <c r="A19" s="90" t="s">
        <v>121</v>
      </c>
    </row>
  </sheetData>
  <sheetProtection/>
  <printOptions/>
  <pageMargins left="0.6" right="0.57" top="0.73" bottom="0.75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G20"/>
  <sheetViews>
    <sheetView workbookViewId="0" topLeftCell="A1">
      <selection activeCell="A7" sqref="A7"/>
    </sheetView>
  </sheetViews>
  <sheetFormatPr defaultColWidth="9.140625" defaultRowHeight="12.75"/>
  <cols>
    <col min="1" max="1" width="24.421875" style="10" customWidth="1"/>
    <col min="2" max="7" width="13.28125" style="10" customWidth="1"/>
    <col min="8" max="16384" width="9.140625" style="10" customWidth="1"/>
  </cols>
  <sheetData>
    <row r="1" ht="12.75"/>
    <row r="2" ht="25.5" customHeight="1"/>
    <row r="3" ht="12.75"/>
    <row r="4" ht="12.75"/>
    <row r="5" ht="12.75"/>
    <row r="6" ht="12.75"/>
    <row r="7" spans="1:4" ht="12.75">
      <c r="A7" s="54" t="s">
        <v>128</v>
      </c>
      <c r="B7" s="48"/>
      <c r="C7" s="48"/>
      <c r="D7" s="48"/>
    </row>
    <row r="8" spans="1:7" ht="12.75">
      <c r="A8" s="92"/>
      <c r="B8" s="100" t="s">
        <v>66</v>
      </c>
      <c r="C8" s="93"/>
      <c r="D8" s="93"/>
      <c r="E8" s="100" t="s">
        <v>67</v>
      </c>
      <c r="F8" s="93"/>
      <c r="G8" s="93"/>
    </row>
    <row r="9" spans="1:7" ht="12.75">
      <c r="A9" s="88"/>
      <c r="B9" s="94">
        <v>2015</v>
      </c>
      <c r="C9" s="94">
        <v>2016</v>
      </c>
      <c r="D9" s="94">
        <v>2017</v>
      </c>
      <c r="E9" s="94">
        <v>2015</v>
      </c>
      <c r="F9" s="94">
        <v>2016</v>
      </c>
      <c r="G9" s="94">
        <v>2017</v>
      </c>
    </row>
    <row r="10" spans="1:7" ht="12.75">
      <c r="A10" s="11" t="s">
        <v>70</v>
      </c>
      <c r="B10" s="101">
        <v>38510</v>
      </c>
      <c r="C10" s="102">
        <v>37733</v>
      </c>
      <c r="D10" s="102">
        <v>37186</v>
      </c>
      <c r="E10" s="103">
        <f aca="true" t="shared" si="0" ref="E10:E19">B10/B$19</f>
        <v>0.4616398945097099</v>
      </c>
      <c r="F10" s="103">
        <f aca="true" t="shared" si="1" ref="F10:G19">C10/C$19</f>
        <v>0.4485242549954236</v>
      </c>
      <c r="G10" s="103">
        <f t="shared" si="1"/>
        <v>0.43774499994114113</v>
      </c>
    </row>
    <row r="11" spans="1:7" ht="12.75">
      <c r="A11" s="11" t="s">
        <v>71</v>
      </c>
      <c r="B11" s="101">
        <v>10296</v>
      </c>
      <c r="C11" s="102">
        <v>10304</v>
      </c>
      <c r="D11" s="102">
        <v>10372</v>
      </c>
      <c r="E11" s="103">
        <f t="shared" si="0"/>
        <v>0.12342363941500839</v>
      </c>
      <c r="F11" s="103">
        <f t="shared" si="1"/>
        <v>0.12248148632424787</v>
      </c>
      <c r="G11" s="103">
        <f t="shared" si="1"/>
        <v>0.12209678748425526</v>
      </c>
    </row>
    <row r="12" spans="1:7" ht="12.75">
      <c r="A12" s="11" t="s">
        <v>72</v>
      </c>
      <c r="B12" s="101">
        <v>5574</v>
      </c>
      <c r="C12" s="102">
        <v>5636</v>
      </c>
      <c r="D12" s="102">
        <v>5596</v>
      </c>
      <c r="E12" s="103">
        <f t="shared" si="0"/>
        <v>0.06681850875089906</v>
      </c>
      <c r="F12" s="103">
        <f t="shared" si="1"/>
        <v>0.06699394962378309</v>
      </c>
      <c r="G12" s="103">
        <f t="shared" si="1"/>
        <v>0.0658748190090525</v>
      </c>
    </row>
    <row r="13" spans="1:7" ht="12.75">
      <c r="A13" s="11" t="s">
        <v>85</v>
      </c>
      <c r="B13" s="101">
        <v>3</v>
      </c>
      <c r="C13" s="104">
        <v>4</v>
      </c>
      <c r="D13" s="104">
        <v>6</v>
      </c>
      <c r="E13" s="103">
        <f t="shared" si="0"/>
        <v>3.596259889714697E-05</v>
      </c>
      <c r="F13" s="103">
        <f t="shared" si="1"/>
        <v>4.7547160840158335E-05</v>
      </c>
      <c r="G13" s="103">
        <f t="shared" si="1"/>
        <v>7.063061366231503E-05</v>
      </c>
    </row>
    <row r="14" spans="1:7" ht="12.75">
      <c r="A14" s="11" t="s">
        <v>73</v>
      </c>
      <c r="B14" s="101">
        <v>28795</v>
      </c>
      <c r="C14" s="102">
        <v>30089</v>
      </c>
      <c r="D14" s="102">
        <v>31191</v>
      </c>
      <c r="E14" s="103">
        <f t="shared" si="0"/>
        <v>0.3451810117477823</v>
      </c>
      <c r="F14" s="103">
        <f t="shared" si="1"/>
        <v>0.357661630629881</v>
      </c>
      <c r="G14" s="103">
        <f t="shared" si="1"/>
        <v>0.3671732451235447</v>
      </c>
    </row>
    <row r="15" spans="1:7" ht="12.75">
      <c r="A15" s="11" t="s">
        <v>86</v>
      </c>
      <c r="B15" s="101">
        <v>235</v>
      </c>
      <c r="C15" s="104">
        <v>354</v>
      </c>
      <c r="D15" s="104">
        <v>591</v>
      </c>
      <c r="E15" s="103">
        <f t="shared" si="0"/>
        <v>0.002817070246943179</v>
      </c>
      <c r="F15" s="103">
        <f t="shared" si="1"/>
        <v>0.004207923734354012</v>
      </c>
      <c r="G15" s="103">
        <f t="shared" si="1"/>
        <v>0.006957115445738031</v>
      </c>
    </row>
    <row r="16" spans="1:7" ht="12.75">
      <c r="A16" s="11" t="s">
        <v>87</v>
      </c>
      <c r="B16" s="101">
        <v>5</v>
      </c>
      <c r="C16" s="104">
        <v>5</v>
      </c>
      <c r="D16" s="104">
        <v>5</v>
      </c>
      <c r="E16" s="103">
        <f t="shared" si="0"/>
        <v>5.9937664828578277E-05</v>
      </c>
      <c r="F16" s="103">
        <f t="shared" si="1"/>
        <v>5.943395105019792E-05</v>
      </c>
      <c r="G16" s="103">
        <f t="shared" si="1"/>
        <v>5.8858844718595864E-05</v>
      </c>
    </row>
    <row r="17" spans="1:7" ht="12.75">
      <c r="A17" s="11" t="s">
        <v>88</v>
      </c>
      <c r="B17" s="101">
        <v>2</v>
      </c>
      <c r="C17" s="104">
        <v>2</v>
      </c>
      <c r="D17" s="104">
        <v>2</v>
      </c>
      <c r="E17" s="103">
        <f t="shared" si="0"/>
        <v>2.397506593143131E-05</v>
      </c>
      <c r="F17" s="103">
        <f t="shared" si="1"/>
        <v>2.3773580420079167E-05</v>
      </c>
      <c r="G17" s="103">
        <f t="shared" si="1"/>
        <v>2.3543537887438347E-05</v>
      </c>
    </row>
    <row r="18" spans="1:7" ht="12.75">
      <c r="A18" s="18" t="s">
        <v>74</v>
      </c>
      <c r="B18" s="58">
        <v>0</v>
      </c>
      <c r="C18" s="95">
        <v>0</v>
      </c>
      <c r="D18" s="95">
        <v>0</v>
      </c>
      <c r="E18" s="96">
        <f t="shared" si="0"/>
        <v>0</v>
      </c>
      <c r="F18" s="96">
        <f t="shared" si="1"/>
        <v>0</v>
      </c>
      <c r="G18" s="96">
        <f t="shared" si="1"/>
        <v>0</v>
      </c>
    </row>
    <row r="19" spans="1:7" ht="12.75">
      <c r="A19" s="18" t="s">
        <v>21</v>
      </c>
      <c r="B19" s="58">
        <v>83420</v>
      </c>
      <c r="C19" s="58">
        <v>84127</v>
      </c>
      <c r="D19" s="58">
        <v>84949</v>
      </c>
      <c r="E19" s="96">
        <f t="shared" si="0"/>
        <v>1</v>
      </c>
      <c r="F19" s="96">
        <f t="shared" si="1"/>
        <v>1</v>
      </c>
      <c r="G19" s="96">
        <f t="shared" si="1"/>
        <v>1</v>
      </c>
    </row>
    <row r="20" spans="1:4" ht="12.75">
      <c r="A20" s="105" t="s">
        <v>1</v>
      </c>
      <c r="B20" s="32"/>
      <c r="C20" s="32"/>
      <c r="D20" s="32"/>
    </row>
  </sheetData>
  <sheetProtection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J21"/>
  <sheetViews>
    <sheetView workbookViewId="0" topLeftCell="A1">
      <selection activeCell="J21" sqref="A9:J21"/>
    </sheetView>
  </sheetViews>
  <sheetFormatPr defaultColWidth="9.140625" defaultRowHeight="12.75"/>
  <cols>
    <col min="1" max="1" width="11.28125" style="10" customWidth="1"/>
    <col min="2" max="5" width="12.7109375" style="10" customWidth="1"/>
    <col min="6" max="6" width="2.421875" style="10" customWidth="1"/>
    <col min="7" max="10" width="12.7109375" style="10" customWidth="1"/>
    <col min="11" max="16384" width="9.140625" style="10" customWidth="1"/>
  </cols>
  <sheetData>
    <row r="1" ht="12.75"/>
    <row r="2" ht="12.75"/>
    <row r="3" ht="12.75"/>
    <row r="4" ht="12.75"/>
    <row r="5" ht="12.75"/>
    <row r="6" ht="12.75"/>
    <row r="7" ht="12.75"/>
    <row r="8" ht="12.75">
      <c r="A8" s="9" t="s">
        <v>116</v>
      </c>
    </row>
    <row r="9" spans="1:10" ht="12.75">
      <c r="A9" s="97"/>
      <c r="B9" s="93" t="s">
        <v>66</v>
      </c>
      <c r="C9" s="93"/>
      <c r="D9" s="93"/>
      <c r="E9" s="93"/>
      <c r="F9" s="107"/>
      <c r="G9" s="93" t="s">
        <v>67</v>
      </c>
      <c r="H9" s="93"/>
      <c r="I9" s="93"/>
      <c r="J9" s="93"/>
    </row>
    <row r="10" spans="1:10" ht="12.75">
      <c r="A10" s="18"/>
      <c r="B10" s="18">
        <v>2014</v>
      </c>
      <c r="C10" s="99">
        <v>2015</v>
      </c>
      <c r="D10" s="99">
        <v>2016</v>
      </c>
      <c r="E10" s="99">
        <v>2017</v>
      </c>
      <c r="F10" s="99"/>
      <c r="G10" s="99">
        <v>2014</v>
      </c>
      <c r="H10" s="99">
        <v>2015</v>
      </c>
      <c r="I10" s="99">
        <v>2016</v>
      </c>
      <c r="J10" s="99">
        <v>2017</v>
      </c>
    </row>
    <row r="11" spans="1:10" ht="12.75">
      <c r="A11" s="11" t="s">
        <v>97</v>
      </c>
      <c r="B11" s="106">
        <v>5652</v>
      </c>
      <c r="C11" s="106">
        <v>5433</v>
      </c>
      <c r="D11" s="106">
        <v>5240</v>
      </c>
      <c r="E11" s="106">
        <v>5119</v>
      </c>
      <c r="F11" s="106"/>
      <c r="G11" s="103">
        <f aca="true" t="shared" si="0" ref="G11:G20">B11/B$20</f>
        <v>0.0679719068693477</v>
      </c>
      <c r="H11" s="103">
        <f aca="true" t="shared" si="1" ref="H11:H20">C11/C$20</f>
        <v>0.06512826660273316</v>
      </c>
      <c r="I11" s="103">
        <f aca="true" t="shared" si="2" ref="I11:J20">D11/D$20</f>
        <v>0.06228678070060741</v>
      </c>
      <c r="J11" s="103">
        <f t="shared" si="2"/>
        <v>0.06025968522289844</v>
      </c>
    </row>
    <row r="12" spans="1:10" ht="12.75">
      <c r="A12" s="11" t="s">
        <v>98</v>
      </c>
      <c r="B12" s="106">
        <v>2286</v>
      </c>
      <c r="C12" s="106">
        <v>1994</v>
      </c>
      <c r="D12" s="106">
        <v>1751</v>
      </c>
      <c r="E12" s="106">
        <v>1583</v>
      </c>
      <c r="F12" s="106"/>
      <c r="G12" s="103">
        <f t="shared" si="0"/>
        <v>0.027491822205118338</v>
      </c>
      <c r="H12" s="103">
        <f t="shared" si="1"/>
        <v>0.02390314073363702</v>
      </c>
      <c r="I12" s="103">
        <f t="shared" si="2"/>
        <v>0.02081376965777931</v>
      </c>
      <c r="J12" s="103">
        <f t="shared" si="2"/>
        <v>0.01863471023790745</v>
      </c>
    </row>
    <row r="13" spans="1:10" ht="12.75">
      <c r="A13" s="11" t="s">
        <v>99</v>
      </c>
      <c r="B13" s="106">
        <v>10640</v>
      </c>
      <c r="C13" s="106">
        <v>9433</v>
      </c>
      <c r="D13" s="106">
        <v>8360</v>
      </c>
      <c r="E13" s="106">
        <v>7431</v>
      </c>
      <c r="F13" s="106"/>
      <c r="G13" s="103">
        <f t="shared" si="0"/>
        <v>0.12795843756013084</v>
      </c>
      <c r="H13" s="103">
        <f t="shared" si="1"/>
        <v>0.11307839846559578</v>
      </c>
      <c r="I13" s="103">
        <f t="shared" si="2"/>
        <v>0.09937356615593092</v>
      </c>
      <c r="J13" s="103">
        <f t="shared" si="2"/>
        <v>0.08747601502077718</v>
      </c>
    </row>
    <row r="14" spans="1:10" ht="12.75">
      <c r="A14" s="11" t="s">
        <v>100</v>
      </c>
      <c r="B14" s="106">
        <v>14005</v>
      </c>
      <c r="C14" s="106">
        <v>12970</v>
      </c>
      <c r="D14" s="106">
        <v>11868</v>
      </c>
      <c r="E14" s="106">
        <v>10805</v>
      </c>
      <c r="F14" s="106"/>
      <c r="G14" s="103">
        <f t="shared" si="0"/>
        <v>0.1684264960554166</v>
      </c>
      <c r="H14" s="103">
        <f t="shared" si="1"/>
        <v>0.15547830256533204</v>
      </c>
      <c r="I14" s="103">
        <f t="shared" si="2"/>
        <v>0.14107242621274976</v>
      </c>
      <c r="J14" s="103">
        <f t="shared" si="2"/>
        <v>0.12719396343688566</v>
      </c>
    </row>
    <row r="15" spans="1:10" ht="12.75">
      <c r="A15" s="11" t="s">
        <v>101</v>
      </c>
      <c r="B15" s="106">
        <v>30660</v>
      </c>
      <c r="C15" s="106">
        <v>29470</v>
      </c>
      <c r="D15" s="106">
        <v>28108</v>
      </c>
      <c r="E15" s="106">
        <v>26522</v>
      </c>
      <c r="F15" s="106"/>
      <c r="G15" s="103">
        <f t="shared" si="0"/>
        <v>0.36872233981142966</v>
      </c>
      <c r="H15" s="103">
        <f t="shared" si="1"/>
        <v>0.3532725964996404</v>
      </c>
      <c r="I15" s="103">
        <f t="shared" si="2"/>
        <v>0.3341138992237926</v>
      </c>
      <c r="J15" s="103">
        <f t="shared" si="2"/>
        <v>0.3122108559253199</v>
      </c>
    </row>
    <row r="16" spans="1:10" ht="12.75">
      <c r="A16" s="11" t="s">
        <v>102</v>
      </c>
      <c r="B16" s="106">
        <v>19149</v>
      </c>
      <c r="C16" s="106">
        <v>21388</v>
      </c>
      <c r="D16" s="106">
        <v>19913</v>
      </c>
      <c r="E16" s="106">
        <v>19374</v>
      </c>
      <c r="F16" s="106"/>
      <c r="G16" s="103">
        <f t="shared" si="0"/>
        <v>0.23028910910140465</v>
      </c>
      <c r="H16" s="103">
        <f t="shared" si="1"/>
        <v>0.25638935507072647</v>
      </c>
      <c r="I16" s="103">
        <f t="shared" si="2"/>
        <v>0.23670165345251823</v>
      </c>
      <c r="J16" s="103">
        <f t="shared" si="2"/>
        <v>0.22806625151561524</v>
      </c>
    </row>
    <row r="17" spans="1:10" ht="12.75">
      <c r="A17" s="11" t="s">
        <v>103</v>
      </c>
      <c r="B17" s="11">
        <v>724</v>
      </c>
      <c r="C17" s="106">
        <v>2694</v>
      </c>
      <c r="D17" s="106">
        <v>8848</v>
      </c>
      <c r="E17" s="106">
        <v>14075</v>
      </c>
      <c r="F17" s="106"/>
      <c r="G17" s="103">
        <f t="shared" si="0"/>
        <v>0.008706946315181836</v>
      </c>
      <c r="H17" s="103">
        <f t="shared" si="1"/>
        <v>0.032294413809637976</v>
      </c>
      <c r="I17" s="103">
        <f t="shared" si="2"/>
        <v>0.10517431977843023</v>
      </c>
      <c r="J17" s="103">
        <f t="shared" si="2"/>
        <v>0.16568764788284734</v>
      </c>
    </row>
    <row r="18" spans="1:10" ht="12.75">
      <c r="A18" s="11" t="s">
        <v>104</v>
      </c>
      <c r="B18" s="106">
        <v>0</v>
      </c>
      <c r="C18" s="106">
        <v>3</v>
      </c>
      <c r="D18" s="106">
        <v>4</v>
      </c>
      <c r="E18" s="106">
        <v>6</v>
      </c>
      <c r="F18" s="106"/>
      <c r="G18" s="103">
        <f t="shared" si="0"/>
        <v>0</v>
      </c>
      <c r="H18" s="103">
        <f t="shared" si="1"/>
        <v>3.596259889714697E-05</v>
      </c>
      <c r="I18" s="103">
        <f t="shared" si="2"/>
        <v>4.7547160840158335E-05</v>
      </c>
      <c r="J18" s="103">
        <f t="shared" si="2"/>
        <v>7.063061366231503E-05</v>
      </c>
    </row>
    <row r="19" spans="1:10" ht="12.75">
      <c r="A19" s="11" t="s">
        <v>105</v>
      </c>
      <c r="B19" s="11">
        <v>36</v>
      </c>
      <c r="C19" s="106">
        <v>35</v>
      </c>
      <c r="D19" s="106">
        <v>35</v>
      </c>
      <c r="E19" s="106">
        <v>34</v>
      </c>
      <c r="F19" s="106"/>
      <c r="G19" s="103">
        <f t="shared" si="0"/>
        <v>0.0004329420819703675</v>
      </c>
      <c r="H19" s="103">
        <f t="shared" si="1"/>
        <v>0.000419563653800048</v>
      </c>
      <c r="I19" s="103">
        <f t="shared" si="2"/>
        <v>0.0004160376573513854</v>
      </c>
      <c r="J19" s="103">
        <f t="shared" si="2"/>
        <v>0.00040024014408645187</v>
      </c>
    </row>
    <row r="20" spans="1:10" ht="12.75">
      <c r="A20" s="18" t="s">
        <v>6</v>
      </c>
      <c r="B20" s="19">
        <v>83152</v>
      </c>
      <c r="C20" s="19">
        <v>83420</v>
      </c>
      <c r="D20" s="19">
        <v>84127</v>
      </c>
      <c r="E20" s="19">
        <v>84949</v>
      </c>
      <c r="F20" s="19"/>
      <c r="G20" s="96">
        <f t="shared" si="0"/>
        <v>1</v>
      </c>
      <c r="H20" s="96">
        <f t="shared" si="1"/>
        <v>1</v>
      </c>
      <c r="I20" s="96">
        <f t="shared" si="2"/>
        <v>1</v>
      </c>
      <c r="J20" s="96">
        <f t="shared" si="2"/>
        <v>1</v>
      </c>
    </row>
    <row r="21" ht="12.75">
      <c r="A21" s="105" t="s">
        <v>1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8:L19"/>
  <sheetViews>
    <sheetView workbookViewId="0" topLeftCell="A1">
      <selection activeCell="J39" sqref="J39"/>
    </sheetView>
  </sheetViews>
  <sheetFormatPr defaultColWidth="9.140625" defaultRowHeight="12.75"/>
  <cols>
    <col min="1" max="1" width="13.140625" style="10" customWidth="1"/>
    <col min="2" max="6" width="9.421875" style="10" customWidth="1"/>
    <col min="7" max="7" width="2.57421875" style="10" customWidth="1"/>
    <col min="8" max="12" width="9.421875" style="10" customWidth="1"/>
    <col min="13" max="16384" width="9.140625" style="10" customWidth="1"/>
  </cols>
  <sheetData>
    <row r="1" ht="12.75"/>
    <row r="2" ht="12.75"/>
    <row r="3" ht="12.75"/>
    <row r="4" ht="12.75"/>
    <row r="5" ht="12.75"/>
    <row r="6" ht="12.75"/>
    <row r="7" ht="12.75"/>
    <row r="8" ht="12.75">
      <c r="A8" s="9" t="s">
        <v>117</v>
      </c>
    </row>
    <row r="9" spans="1:12" ht="12.75">
      <c r="A9" s="98"/>
      <c r="B9" s="100" t="s">
        <v>66</v>
      </c>
      <c r="C9" s="93"/>
      <c r="D9" s="93"/>
      <c r="E9" s="93"/>
      <c r="F9" s="93"/>
      <c r="G9" s="107"/>
      <c r="H9" s="100" t="s">
        <v>67</v>
      </c>
      <c r="I9" s="93"/>
      <c r="J9" s="93"/>
      <c r="K9" s="93"/>
      <c r="L9" s="93"/>
    </row>
    <row r="10" spans="1:12" ht="12.75">
      <c r="A10" s="18"/>
      <c r="B10" s="18">
        <v>2013</v>
      </c>
      <c r="C10" s="18">
        <v>2014</v>
      </c>
      <c r="D10" s="18">
        <v>2015</v>
      </c>
      <c r="E10" s="18">
        <v>2016</v>
      </c>
      <c r="F10" s="18">
        <v>2017</v>
      </c>
      <c r="G10" s="18"/>
      <c r="H10" s="18">
        <v>2013</v>
      </c>
      <c r="I10" s="18">
        <v>2014</v>
      </c>
      <c r="J10" s="18">
        <v>2015</v>
      </c>
      <c r="K10" s="18">
        <v>2016</v>
      </c>
      <c r="L10" s="18">
        <v>2017</v>
      </c>
    </row>
    <row r="11" spans="1:12" ht="12.75">
      <c r="A11" s="11" t="s">
        <v>97</v>
      </c>
      <c r="B11" s="106">
        <v>3926</v>
      </c>
      <c r="C11" s="106">
        <v>3859</v>
      </c>
      <c r="D11" s="106">
        <v>3816</v>
      </c>
      <c r="E11" s="106">
        <v>3766</v>
      </c>
      <c r="F11" s="106">
        <v>3721</v>
      </c>
      <c r="G11" s="106"/>
      <c r="H11" s="103">
        <f aca="true" t="shared" si="0" ref="H11:L18">B11/B$18</f>
        <v>0.28505046104697596</v>
      </c>
      <c r="I11" s="103">
        <f t="shared" si="0"/>
        <v>0.280981505752148</v>
      </c>
      <c r="J11" s="103">
        <f t="shared" si="0"/>
        <v>0.2792944448510576</v>
      </c>
      <c r="K11" s="103">
        <f t="shared" si="0"/>
        <v>0.2788596815994076</v>
      </c>
      <c r="L11" s="103">
        <f t="shared" si="0"/>
        <v>0.27461254612546127</v>
      </c>
    </row>
    <row r="12" spans="1:12" ht="12.75">
      <c r="A12" s="11" t="s">
        <v>98</v>
      </c>
      <c r="B12" s="106">
        <v>2989</v>
      </c>
      <c r="C12" s="106">
        <v>2868</v>
      </c>
      <c r="D12" s="106">
        <v>2742</v>
      </c>
      <c r="E12" s="106">
        <v>2577</v>
      </c>
      <c r="F12" s="106">
        <v>2469</v>
      </c>
      <c r="G12" s="106"/>
      <c r="H12" s="103">
        <f t="shared" si="0"/>
        <v>0.21701880490815365</v>
      </c>
      <c r="I12" s="103">
        <f t="shared" si="0"/>
        <v>0.20882481432940148</v>
      </c>
      <c r="J12" s="103">
        <f t="shared" si="0"/>
        <v>0.200687989460587</v>
      </c>
      <c r="K12" s="103">
        <f t="shared" si="0"/>
        <v>0.19081821547574973</v>
      </c>
      <c r="L12" s="103">
        <f t="shared" si="0"/>
        <v>0.1822140221402214</v>
      </c>
    </row>
    <row r="13" spans="1:12" ht="12.75">
      <c r="A13" s="11" t="s">
        <v>99</v>
      </c>
      <c r="B13" s="106">
        <v>2499</v>
      </c>
      <c r="C13" s="106">
        <v>2408</v>
      </c>
      <c r="D13" s="106">
        <v>2287</v>
      </c>
      <c r="E13" s="106">
        <v>2141</v>
      </c>
      <c r="F13" s="106">
        <v>2053</v>
      </c>
      <c r="G13" s="106"/>
      <c r="H13" s="103">
        <f t="shared" si="0"/>
        <v>0.1814419516445219</v>
      </c>
      <c r="I13" s="103">
        <f t="shared" si="0"/>
        <v>0.17533129459734964</v>
      </c>
      <c r="J13" s="103">
        <f t="shared" si="0"/>
        <v>0.16738637195345094</v>
      </c>
      <c r="K13" s="103">
        <f t="shared" si="0"/>
        <v>0.1585338763420955</v>
      </c>
      <c r="L13" s="103">
        <f t="shared" si="0"/>
        <v>0.1515129151291513</v>
      </c>
    </row>
    <row r="14" spans="1:12" ht="12.75">
      <c r="A14" s="11" t="s">
        <v>100</v>
      </c>
      <c r="B14" s="106">
        <v>4336</v>
      </c>
      <c r="C14" s="106">
        <v>4576</v>
      </c>
      <c r="D14" s="106">
        <v>4795</v>
      </c>
      <c r="E14" s="106">
        <v>4891</v>
      </c>
      <c r="F14" s="106">
        <v>4820</v>
      </c>
      <c r="G14" s="106"/>
      <c r="H14" s="103">
        <f t="shared" si="0"/>
        <v>0.31481884847164743</v>
      </c>
      <c r="I14" s="103">
        <f t="shared" si="0"/>
        <v>0.3331877093344983</v>
      </c>
      <c r="J14" s="103">
        <f t="shared" si="0"/>
        <v>0.3509478152675108</v>
      </c>
      <c r="K14" s="103">
        <f t="shared" si="0"/>
        <v>0.3621621621621622</v>
      </c>
      <c r="L14" s="103">
        <f t="shared" si="0"/>
        <v>0.35571955719557197</v>
      </c>
    </row>
    <row r="15" spans="1:12" ht="12.75">
      <c r="A15" s="11" t="s">
        <v>101</v>
      </c>
      <c r="B15" s="106">
        <v>0</v>
      </c>
      <c r="C15" s="106">
        <v>0</v>
      </c>
      <c r="D15" s="106">
        <v>0</v>
      </c>
      <c r="E15" s="11">
        <v>106</v>
      </c>
      <c r="F15" s="11">
        <v>463</v>
      </c>
      <c r="G15" s="11"/>
      <c r="H15" s="103">
        <f t="shared" si="0"/>
        <v>0</v>
      </c>
      <c r="I15" s="103">
        <f t="shared" si="0"/>
        <v>0</v>
      </c>
      <c r="J15" s="103">
        <f t="shared" si="0"/>
        <v>0</v>
      </c>
      <c r="K15" s="103">
        <f t="shared" si="0"/>
        <v>0.007848944835246206</v>
      </c>
      <c r="L15" s="103">
        <f t="shared" si="0"/>
        <v>0.034169741697416975</v>
      </c>
    </row>
    <row r="16" spans="1:12" ht="12.75">
      <c r="A16" s="11" t="s">
        <v>104</v>
      </c>
      <c r="B16" s="106">
        <v>0</v>
      </c>
      <c r="C16" s="106">
        <v>0</v>
      </c>
      <c r="D16" s="106">
        <v>0</v>
      </c>
      <c r="E16" s="11">
        <v>1</v>
      </c>
      <c r="F16" s="11">
        <v>2</v>
      </c>
      <c r="G16" s="11"/>
      <c r="H16" s="103">
        <f t="shared" si="0"/>
        <v>0</v>
      </c>
      <c r="I16" s="103">
        <f t="shared" si="0"/>
        <v>0</v>
      </c>
      <c r="J16" s="103">
        <f t="shared" si="0"/>
        <v>0</v>
      </c>
      <c r="K16" s="103">
        <f t="shared" si="0"/>
        <v>7.404664938911514E-05</v>
      </c>
      <c r="L16" s="103">
        <f t="shared" si="0"/>
        <v>0.00014760147601476016</v>
      </c>
    </row>
    <row r="17" spans="1:12" ht="12.75">
      <c r="A17" s="11" t="s">
        <v>105</v>
      </c>
      <c r="B17" s="106">
        <v>23</v>
      </c>
      <c r="C17" s="11">
        <v>23</v>
      </c>
      <c r="D17" s="11">
        <v>23</v>
      </c>
      <c r="E17" s="11">
        <v>23</v>
      </c>
      <c r="F17" s="11">
        <v>22</v>
      </c>
      <c r="G17" s="11"/>
      <c r="H17" s="103">
        <f t="shared" si="0"/>
        <v>0.001669933928701082</v>
      </c>
      <c r="I17" s="103">
        <f t="shared" si="0"/>
        <v>0.0016746759866025922</v>
      </c>
      <c r="J17" s="103">
        <f t="shared" si="0"/>
        <v>0.001683378467393691</v>
      </c>
      <c r="K17" s="103">
        <f t="shared" si="0"/>
        <v>0.0017030729359496482</v>
      </c>
      <c r="L17" s="103">
        <f t="shared" si="0"/>
        <v>0.0016236162361623616</v>
      </c>
    </row>
    <row r="18" spans="1:12" ht="12.75">
      <c r="A18" s="18" t="s">
        <v>21</v>
      </c>
      <c r="B18" s="19">
        <v>13773</v>
      </c>
      <c r="C18" s="19">
        <v>13734</v>
      </c>
      <c r="D18" s="19">
        <v>13663</v>
      </c>
      <c r="E18" s="19">
        <v>13505</v>
      </c>
      <c r="F18" s="19">
        <v>13550</v>
      </c>
      <c r="G18" s="19"/>
      <c r="H18" s="96">
        <f t="shared" si="0"/>
        <v>1</v>
      </c>
      <c r="I18" s="96">
        <f t="shared" si="0"/>
        <v>1</v>
      </c>
      <c r="J18" s="96">
        <f t="shared" si="0"/>
        <v>1</v>
      </c>
      <c r="K18" s="96">
        <f t="shared" si="0"/>
        <v>1</v>
      </c>
      <c r="L18" s="96">
        <f t="shared" si="0"/>
        <v>1</v>
      </c>
    </row>
    <row r="19" ht="12.75">
      <c r="A19" s="105" t="s">
        <v>1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zoomScale="85" zoomScaleNormal="85" zoomScalePageLayoutView="0" workbookViewId="0" topLeftCell="A1">
      <selection activeCell="L32" sqref="L32"/>
    </sheetView>
  </sheetViews>
  <sheetFormatPr defaultColWidth="9.140625" defaultRowHeight="12.75"/>
  <cols>
    <col min="1" max="1" width="45.57421875" style="10" customWidth="1"/>
    <col min="2" max="2" width="8.7109375" style="10" hidden="1" customWidth="1"/>
    <col min="3" max="9" width="8.7109375" style="38" customWidth="1"/>
    <col min="10" max="16384" width="9.140625" style="10" customWidth="1"/>
  </cols>
  <sheetData>
    <row r="1" spans="3:9" ht="81.75" customHeight="1">
      <c r="C1" s="10"/>
      <c r="D1" s="10"/>
      <c r="E1" s="10"/>
      <c r="F1" s="10"/>
      <c r="G1" s="10"/>
      <c r="H1" s="10"/>
      <c r="I1" s="10"/>
    </row>
    <row r="2" spans="3:9" ht="12.75">
      <c r="C2" s="10"/>
      <c r="D2" s="10"/>
      <c r="E2" s="10"/>
      <c r="F2" s="10"/>
      <c r="G2" s="10"/>
      <c r="H2" s="10"/>
      <c r="I2" s="10"/>
    </row>
    <row r="3" spans="1:9" ht="33.75" customHeight="1">
      <c r="A3" s="126" t="s">
        <v>113</v>
      </c>
      <c r="B3" s="126"/>
      <c r="C3" s="126"/>
      <c r="D3" s="126"/>
      <c r="E3" s="126"/>
      <c r="F3" s="126"/>
      <c r="G3" s="126"/>
      <c r="H3" s="126"/>
      <c r="I3" s="122"/>
    </row>
    <row r="4" spans="1:9" ht="22.5" customHeight="1">
      <c r="A4" s="15"/>
      <c r="B4" s="28" t="s">
        <v>80</v>
      </c>
      <c r="C4" s="28" t="s">
        <v>81</v>
      </c>
      <c r="D4" s="28" t="s">
        <v>82</v>
      </c>
      <c r="E4" s="28" t="s">
        <v>83</v>
      </c>
      <c r="F4" s="28" t="s">
        <v>89</v>
      </c>
      <c r="G4" s="28" t="s">
        <v>92</v>
      </c>
      <c r="H4" s="28" t="s">
        <v>108</v>
      </c>
      <c r="I4" s="28" t="s">
        <v>125</v>
      </c>
    </row>
    <row r="5" spans="1:9" s="11" customFormat="1" ht="12.75">
      <c r="A5" s="62" t="s">
        <v>77</v>
      </c>
      <c r="B5" s="60"/>
      <c r="C5" s="60"/>
      <c r="D5" s="60"/>
      <c r="E5" s="60"/>
      <c r="F5" s="60"/>
      <c r="G5" s="60"/>
      <c r="H5" s="60"/>
      <c r="I5" s="60"/>
    </row>
    <row r="6" ht="16.5" customHeight="1">
      <c r="A6" s="13" t="s">
        <v>46</v>
      </c>
    </row>
    <row r="7" spans="1:11" ht="12.75" customHeight="1">
      <c r="A7" s="11" t="s">
        <v>7</v>
      </c>
      <c r="B7" s="10">
        <v>56</v>
      </c>
      <c r="C7" s="38">
        <f>41+14</f>
        <v>55</v>
      </c>
      <c r="D7" s="38">
        <f>41+14</f>
        <v>55</v>
      </c>
      <c r="E7" s="38">
        <f>41+14</f>
        <v>55</v>
      </c>
      <c r="F7" s="38">
        <f>43+14</f>
        <v>57</v>
      </c>
      <c r="G7" s="38">
        <f>42+14</f>
        <v>56</v>
      </c>
      <c r="H7" s="38">
        <f>42+14</f>
        <v>56</v>
      </c>
      <c r="I7" s="38">
        <f>42+14</f>
        <v>56</v>
      </c>
      <c r="J7"/>
      <c r="K7"/>
    </row>
    <row r="8" spans="1:11" ht="12.75" customHeight="1">
      <c r="A8" s="11" t="s">
        <v>8</v>
      </c>
      <c r="B8" s="10">
        <v>74</v>
      </c>
      <c r="C8" s="38">
        <v>75</v>
      </c>
      <c r="D8" s="38">
        <f>56+10</f>
        <v>66</v>
      </c>
      <c r="E8" s="38">
        <v>74</v>
      </c>
      <c r="F8" s="38">
        <f>55+10+8</f>
        <v>73</v>
      </c>
      <c r="G8" s="38">
        <f>6+56+10</f>
        <v>72</v>
      </c>
      <c r="H8" s="38">
        <f>6+56+12</f>
        <v>74</v>
      </c>
      <c r="I8" s="38">
        <f>6+56+12</f>
        <v>74</v>
      </c>
      <c r="J8"/>
      <c r="K8"/>
    </row>
    <row r="9" spans="1:11" ht="12.75" customHeight="1">
      <c r="A9" s="11" t="s">
        <v>9</v>
      </c>
      <c r="B9" s="10">
        <v>51</v>
      </c>
      <c r="C9" s="38">
        <v>51</v>
      </c>
      <c r="D9" s="38">
        <f>53</f>
        <v>53</v>
      </c>
      <c r="E9" s="38">
        <v>51</v>
      </c>
      <c r="F9" s="38">
        <v>53</v>
      </c>
      <c r="G9" s="38">
        <v>51</v>
      </c>
      <c r="H9" s="38">
        <v>51</v>
      </c>
      <c r="I9" s="38">
        <v>51</v>
      </c>
      <c r="J9"/>
      <c r="K9"/>
    </row>
    <row r="10" spans="1:11" ht="12.75" customHeight="1">
      <c r="A10" s="11" t="s">
        <v>10</v>
      </c>
      <c r="B10" s="10">
        <v>48</v>
      </c>
      <c r="C10" s="38">
        <v>50</v>
      </c>
      <c r="D10" s="38">
        <f>50</f>
        <v>50</v>
      </c>
      <c r="E10" s="38">
        <v>50</v>
      </c>
      <c r="F10" s="38">
        <v>62</v>
      </c>
      <c r="G10" s="38">
        <v>63</v>
      </c>
      <c r="H10" s="38">
        <v>63</v>
      </c>
      <c r="I10" s="38">
        <v>63</v>
      </c>
      <c r="J10"/>
      <c r="K10"/>
    </row>
    <row r="11" spans="1:11" ht="13.5" customHeight="1">
      <c r="A11" s="11" t="s">
        <v>33</v>
      </c>
      <c r="B11" s="10">
        <v>87</v>
      </c>
      <c r="C11" s="38">
        <v>91</v>
      </c>
      <c r="D11" s="38">
        <f>24+4+11+50</f>
        <v>89</v>
      </c>
      <c r="E11" s="38">
        <v>92</v>
      </c>
      <c r="F11" s="38">
        <f>11+25+4+50</f>
        <v>90</v>
      </c>
      <c r="G11" s="38">
        <f>23+4+11+50</f>
        <v>88</v>
      </c>
      <c r="H11" s="38">
        <f>23+4+11+50</f>
        <v>88</v>
      </c>
      <c r="I11" s="38">
        <f>23+4+11+50</f>
        <v>88</v>
      </c>
      <c r="J11"/>
      <c r="K11"/>
    </row>
    <row r="12" spans="1:11" ht="12.75" customHeight="1">
      <c r="A12" s="11" t="s">
        <v>11</v>
      </c>
      <c r="B12" s="10">
        <v>58</v>
      </c>
      <c r="C12" s="38">
        <f>45+13</f>
        <v>58</v>
      </c>
      <c r="D12" s="38">
        <f>39+10</f>
        <v>49</v>
      </c>
      <c r="E12" s="38">
        <v>57</v>
      </c>
      <c r="F12" s="38">
        <f>40+10</f>
        <v>50</v>
      </c>
      <c r="G12" s="38">
        <f>41+10</f>
        <v>51</v>
      </c>
      <c r="H12" s="38">
        <f>41+13</f>
        <v>54</v>
      </c>
      <c r="I12" s="38">
        <f>41+13</f>
        <v>54</v>
      </c>
      <c r="J12"/>
      <c r="K12"/>
    </row>
    <row r="13" spans="1:11" ht="12.75" customHeight="1">
      <c r="A13" s="27" t="s">
        <v>45</v>
      </c>
      <c r="B13" s="10">
        <v>22</v>
      </c>
      <c r="C13" s="38">
        <v>31</v>
      </c>
      <c r="D13" s="38">
        <f>11+21</f>
        <v>32</v>
      </c>
      <c r="E13" s="38">
        <v>31</v>
      </c>
      <c r="F13" s="38">
        <f>11+22</f>
        <v>33</v>
      </c>
      <c r="G13" s="38">
        <f>11+21</f>
        <v>32</v>
      </c>
      <c r="H13" s="38">
        <f>11+21</f>
        <v>32</v>
      </c>
      <c r="I13" s="38">
        <f>11+21</f>
        <v>32</v>
      </c>
      <c r="J13"/>
      <c r="K13"/>
    </row>
    <row r="14" spans="1:11" ht="12.75" customHeight="1">
      <c r="A14" s="11" t="s">
        <v>109</v>
      </c>
      <c r="B14" s="38" t="s">
        <v>59</v>
      </c>
      <c r="C14" s="38">
        <v>54</v>
      </c>
      <c r="D14" s="38">
        <f>20+15+10+9</f>
        <v>54</v>
      </c>
      <c r="E14" s="38">
        <f>20+15+10+9</f>
        <v>54</v>
      </c>
      <c r="F14" s="38">
        <f>9+20+10+15</f>
        <v>54</v>
      </c>
      <c r="G14" s="38">
        <f>20+16+12+8</f>
        <v>56</v>
      </c>
      <c r="H14" s="38">
        <f>20+16+12+8</f>
        <v>56</v>
      </c>
      <c r="I14" s="38">
        <f>20+16+12+8</f>
        <v>56</v>
      </c>
      <c r="J14"/>
      <c r="K14"/>
    </row>
    <row r="15" spans="1:11" ht="12.75" customHeight="1">
      <c r="A15" s="11" t="s">
        <v>60</v>
      </c>
      <c r="B15" s="38" t="s">
        <v>59</v>
      </c>
      <c r="C15" s="38">
        <v>58</v>
      </c>
      <c r="D15" s="38">
        <f>29+28</f>
        <v>57</v>
      </c>
      <c r="E15" s="38">
        <v>58</v>
      </c>
      <c r="F15" s="38">
        <f>29+29</f>
        <v>58</v>
      </c>
      <c r="G15" s="38">
        <f>27+25</f>
        <v>52</v>
      </c>
      <c r="H15" s="38">
        <f>27+25</f>
        <v>52</v>
      </c>
      <c r="I15" s="38">
        <f>27+25</f>
        <v>52</v>
      </c>
      <c r="J15"/>
      <c r="K15"/>
    </row>
    <row r="16" spans="1:11" ht="12.75" customHeight="1">
      <c r="A16" s="16" t="s">
        <v>38</v>
      </c>
      <c r="B16" s="29">
        <f aca="true" t="shared" si="0" ref="B16:I16">SUM(B7:B15)</f>
        <v>396</v>
      </c>
      <c r="C16" s="29">
        <f t="shared" si="0"/>
        <v>523</v>
      </c>
      <c r="D16" s="29">
        <f t="shared" si="0"/>
        <v>505</v>
      </c>
      <c r="E16" s="29">
        <f t="shared" si="0"/>
        <v>522</v>
      </c>
      <c r="F16" s="29">
        <f t="shared" si="0"/>
        <v>530</v>
      </c>
      <c r="G16" s="29">
        <f t="shared" si="0"/>
        <v>521</v>
      </c>
      <c r="H16" s="29">
        <f t="shared" si="0"/>
        <v>526</v>
      </c>
      <c r="I16" s="29">
        <f t="shared" si="0"/>
        <v>526</v>
      </c>
      <c r="J16"/>
      <c r="K16"/>
    </row>
    <row r="17" spans="1:11" ht="12.75" customHeight="1">
      <c r="A17" s="13" t="s">
        <v>47</v>
      </c>
      <c r="J17"/>
      <c r="K17"/>
    </row>
    <row r="18" spans="1:11" ht="0.75" customHeight="1">
      <c r="A18" s="11" t="s">
        <v>32</v>
      </c>
      <c r="B18" s="10">
        <v>39</v>
      </c>
      <c r="C18" s="38" t="s">
        <v>59</v>
      </c>
      <c r="D18" s="38" t="s">
        <v>59</v>
      </c>
      <c r="E18" s="38" t="s">
        <v>59</v>
      </c>
      <c r="F18" s="38" t="s">
        <v>59</v>
      </c>
      <c r="G18" s="38" t="s">
        <v>59</v>
      </c>
      <c r="H18" s="38" t="s">
        <v>59</v>
      </c>
      <c r="I18" s="38" t="s">
        <v>59</v>
      </c>
      <c r="J18"/>
      <c r="K18"/>
    </row>
    <row r="19" spans="1:11" ht="13.5" customHeight="1">
      <c r="A19" s="11" t="s">
        <v>45</v>
      </c>
      <c r="B19" s="10">
        <v>59</v>
      </c>
      <c r="C19" s="38">
        <v>59</v>
      </c>
      <c r="D19" s="38">
        <f>56</f>
        <v>56</v>
      </c>
      <c r="E19" s="38">
        <v>59</v>
      </c>
      <c r="F19" s="38">
        <v>56</v>
      </c>
      <c r="G19" s="38">
        <v>70</v>
      </c>
      <c r="H19" s="38">
        <v>70</v>
      </c>
      <c r="I19" s="38">
        <v>70</v>
      </c>
      <c r="J19"/>
      <c r="K19"/>
    </row>
    <row r="20" spans="1:11" ht="0.75" customHeight="1">
      <c r="A20" s="11" t="s">
        <v>12</v>
      </c>
      <c r="B20" s="10">
        <v>98</v>
      </c>
      <c r="C20" s="38" t="s">
        <v>59</v>
      </c>
      <c r="D20" s="38" t="s">
        <v>59</v>
      </c>
      <c r="E20" s="38" t="s">
        <v>59</v>
      </c>
      <c r="F20" s="38" t="s">
        <v>59</v>
      </c>
      <c r="G20" s="38" t="s">
        <v>59</v>
      </c>
      <c r="H20" s="38" t="s">
        <v>59</v>
      </c>
      <c r="I20" s="38" t="s">
        <v>59</v>
      </c>
      <c r="J20"/>
      <c r="K20"/>
    </row>
    <row r="21" spans="1:11" ht="12.75" customHeight="1">
      <c r="A21" s="11" t="s">
        <v>13</v>
      </c>
      <c r="B21" s="10">
        <v>125</v>
      </c>
      <c r="C21" s="123">
        <v>114</v>
      </c>
      <c r="D21" s="123">
        <f>75+39</f>
        <v>114</v>
      </c>
      <c r="E21" s="123">
        <v>115</v>
      </c>
      <c r="F21" s="123">
        <f>69+39</f>
        <v>108</v>
      </c>
      <c r="G21" s="123">
        <f>63+39</f>
        <v>102</v>
      </c>
      <c r="H21" s="123">
        <f>62+39</f>
        <v>101</v>
      </c>
      <c r="I21" s="123">
        <f>62+39</f>
        <v>101</v>
      </c>
      <c r="J21"/>
      <c r="K21"/>
    </row>
    <row r="22" spans="1:11" ht="12.75" customHeight="1">
      <c r="A22" s="11" t="s">
        <v>14</v>
      </c>
      <c r="B22" s="10">
        <v>44</v>
      </c>
      <c r="C22" s="123">
        <v>46</v>
      </c>
      <c r="D22" s="123">
        <f>15+12+14</f>
        <v>41</v>
      </c>
      <c r="E22" s="123">
        <v>47</v>
      </c>
      <c r="F22" s="123">
        <f>14+12+15</f>
        <v>41</v>
      </c>
      <c r="G22" s="123">
        <f>15+12+14</f>
        <v>41</v>
      </c>
      <c r="H22" s="123">
        <f>15+12+15</f>
        <v>42</v>
      </c>
      <c r="I22" s="123">
        <f>14+12+14</f>
        <v>40</v>
      </c>
      <c r="J22"/>
      <c r="K22"/>
    </row>
    <row r="23" spans="1:11" ht="12.75" customHeight="1">
      <c r="A23" s="11" t="s">
        <v>110</v>
      </c>
      <c r="B23" s="10">
        <v>240</v>
      </c>
      <c r="C23" s="123">
        <v>240</v>
      </c>
      <c r="D23" s="123">
        <v>194</v>
      </c>
      <c r="E23" s="123">
        <v>240</v>
      </c>
      <c r="F23" s="123">
        <v>194</v>
      </c>
      <c r="G23" s="123">
        <v>194</v>
      </c>
      <c r="H23" s="123">
        <v>194</v>
      </c>
      <c r="I23" s="123">
        <v>194</v>
      </c>
      <c r="J23"/>
      <c r="K23"/>
    </row>
    <row r="24" spans="1:11" ht="12.75" customHeight="1">
      <c r="A24" s="11" t="s">
        <v>61</v>
      </c>
      <c r="B24" s="10">
        <v>52</v>
      </c>
      <c r="C24" s="123">
        <v>52</v>
      </c>
      <c r="D24" s="123">
        <v>52</v>
      </c>
      <c r="E24" s="123">
        <v>52</v>
      </c>
      <c r="F24" s="123">
        <v>52</v>
      </c>
      <c r="G24" s="123">
        <v>52</v>
      </c>
      <c r="H24" s="123">
        <v>52</v>
      </c>
      <c r="I24" s="123">
        <v>52</v>
      </c>
      <c r="J24"/>
      <c r="K24"/>
    </row>
    <row r="25" spans="1:11" ht="12.75" customHeight="1">
      <c r="A25" s="17" t="s">
        <v>39</v>
      </c>
      <c r="B25" s="34">
        <v>657</v>
      </c>
      <c r="C25" s="124">
        <f aca="true" t="shared" si="1" ref="C25:I25">SUM(C18:C24)</f>
        <v>511</v>
      </c>
      <c r="D25" s="124">
        <f t="shared" si="1"/>
        <v>457</v>
      </c>
      <c r="E25" s="124">
        <f t="shared" si="1"/>
        <v>513</v>
      </c>
      <c r="F25" s="124">
        <f t="shared" si="1"/>
        <v>451</v>
      </c>
      <c r="G25" s="124">
        <f t="shared" si="1"/>
        <v>459</v>
      </c>
      <c r="H25" s="124">
        <f t="shared" si="1"/>
        <v>459</v>
      </c>
      <c r="I25" s="124">
        <f t="shared" si="1"/>
        <v>457</v>
      </c>
      <c r="J25"/>
      <c r="K25"/>
    </row>
    <row r="26" spans="1:11" ht="12.75" customHeight="1">
      <c r="A26" s="13" t="s">
        <v>48</v>
      </c>
      <c r="C26" s="123"/>
      <c r="D26" s="123"/>
      <c r="E26" s="123"/>
      <c r="F26" s="123"/>
      <c r="G26" s="123"/>
      <c r="H26" s="123"/>
      <c r="I26" s="123"/>
      <c r="J26"/>
      <c r="K26"/>
    </row>
    <row r="27" spans="1:11" ht="12.75" customHeight="1">
      <c r="A27" s="11" t="s">
        <v>51</v>
      </c>
      <c r="B27" s="10">
        <v>237</v>
      </c>
      <c r="C27" s="123">
        <v>236</v>
      </c>
      <c r="D27" s="123">
        <v>234</v>
      </c>
      <c r="E27" s="123">
        <v>236</v>
      </c>
      <c r="F27" s="123">
        <v>234</v>
      </c>
      <c r="G27" s="123">
        <v>234</v>
      </c>
      <c r="H27" s="123">
        <v>236</v>
      </c>
      <c r="I27" s="123">
        <v>236</v>
      </c>
      <c r="J27"/>
      <c r="K27"/>
    </row>
    <row r="28" spans="1:11" ht="12.75" customHeight="1">
      <c r="A28" s="11" t="s">
        <v>69</v>
      </c>
      <c r="B28" s="38" t="s">
        <v>59</v>
      </c>
      <c r="C28" s="123">
        <v>122</v>
      </c>
      <c r="D28" s="123">
        <v>122</v>
      </c>
      <c r="E28" s="123">
        <v>122</v>
      </c>
      <c r="F28" s="123">
        <v>122</v>
      </c>
      <c r="G28" s="123">
        <v>122</v>
      </c>
      <c r="H28" s="123">
        <v>122</v>
      </c>
      <c r="I28" s="123">
        <v>122</v>
      </c>
      <c r="J28"/>
      <c r="K28"/>
    </row>
    <row r="29" spans="1:11" ht="12.75" customHeight="1">
      <c r="A29" s="11" t="s">
        <v>44</v>
      </c>
      <c r="B29" s="10">
        <v>121</v>
      </c>
      <c r="C29" s="123">
        <v>121</v>
      </c>
      <c r="D29" s="123">
        <v>123</v>
      </c>
      <c r="E29" s="123">
        <v>121</v>
      </c>
      <c r="F29" s="123">
        <v>123</v>
      </c>
      <c r="G29" s="123">
        <v>123</v>
      </c>
      <c r="H29" s="123">
        <v>123</v>
      </c>
      <c r="I29" s="123">
        <v>123</v>
      </c>
      <c r="J29"/>
      <c r="K29"/>
    </row>
    <row r="30" spans="1:11" ht="12.75" customHeight="1">
      <c r="A30" s="11" t="s">
        <v>43</v>
      </c>
      <c r="B30" s="10">
        <v>142</v>
      </c>
      <c r="C30" s="123">
        <v>142</v>
      </c>
      <c r="D30" s="123">
        <v>142</v>
      </c>
      <c r="E30" s="123">
        <v>142</v>
      </c>
      <c r="F30" s="123">
        <v>142</v>
      </c>
      <c r="G30" s="123">
        <v>142</v>
      </c>
      <c r="H30" s="123">
        <v>142</v>
      </c>
      <c r="I30" s="123">
        <v>142</v>
      </c>
      <c r="J30"/>
      <c r="K30"/>
    </row>
    <row r="31" spans="1:11" ht="12.75" customHeight="1">
      <c r="A31" s="11" t="s">
        <v>50</v>
      </c>
      <c r="B31" s="10">
        <v>818</v>
      </c>
      <c r="C31" s="123">
        <v>826</v>
      </c>
      <c r="D31" s="123">
        <v>822</v>
      </c>
      <c r="E31" s="123">
        <v>837</v>
      </c>
      <c r="F31" s="123">
        <v>822</v>
      </c>
      <c r="G31" s="123">
        <v>822</v>
      </c>
      <c r="H31" s="123">
        <v>832</v>
      </c>
      <c r="I31" s="123">
        <v>832</v>
      </c>
      <c r="J31"/>
      <c r="K31"/>
    </row>
    <row r="32" spans="1:11" ht="13.5" customHeight="1">
      <c r="A32" s="11" t="s">
        <v>49</v>
      </c>
      <c r="B32" s="10">
        <v>192</v>
      </c>
      <c r="C32" s="123">
        <v>192</v>
      </c>
      <c r="D32" s="123">
        <v>192</v>
      </c>
      <c r="E32" s="123">
        <v>192</v>
      </c>
      <c r="F32" s="123">
        <v>192</v>
      </c>
      <c r="G32" s="123">
        <v>192</v>
      </c>
      <c r="H32" s="123">
        <v>192</v>
      </c>
      <c r="I32" s="123">
        <v>192</v>
      </c>
      <c r="J32"/>
      <c r="K32"/>
    </row>
    <row r="33" spans="1:11" ht="12.75" customHeight="1">
      <c r="A33" s="12" t="s">
        <v>15</v>
      </c>
      <c r="B33" s="10">
        <v>112</v>
      </c>
      <c r="C33" s="123">
        <v>167</v>
      </c>
      <c r="D33" s="123">
        <v>167</v>
      </c>
      <c r="E33" s="123">
        <v>169</v>
      </c>
      <c r="F33" s="123">
        <v>167</v>
      </c>
      <c r="G33" s="123">
        <v>167</v>
      </c>
      <c r="H33" s="123">
        <v>169</v>
      </c>
      <c r="I33" s="123">
        <v>169</v>
      </c>
      <c r="J33"/>
      <c r="K33"/>
    </row>
    <row r="34" spans="1:11" ht="12" customHeight="1">
      <c r="A34" s="27" t="s">
        <v>42</v>
      </c>
      <c r="B34" s="10">
        <v>465</v>
      </c>
      <c r="C34" s="123">
        <v>465</v>
      </c>
      <c r="D34" s="123">
        <v>465</v>
      </c>
      <c r="E34" s="123">
        <v>465</v>
      </c>
      <c r="F34" s="123">
        <v>465</v>
      </c>
      <c r="G34" s="123">
        <v>463</v>
      </c>
      <c r="H34" s="123">
        <v>463</v>
      </c>
      <c r="I34" s="123">
        <v>463</v>
      </c>
      <c r="J34"/>
      <c r="K34"/>
    </row>
    <row r="35" spans="1:11" ht="18.75" customHeight="1">
      <c r="A35" s="11" t="s">
        <v>52</v>
      </c>
      <c r="B35" s="10">
        <v>411</v>
      </c>
      <c r="C35" s="123">
        <v>412</v>
      </c>
      <c r="D35" s="123">
        <v>392</v>
      </c>
      <c r="E35" s="123">
        <v>412</v>
      </c>
      <c r="F35" s="123">
        <v>392</v>
      </c>
      <c r="G35" s="123">
        <v>402</v>
      </c>
      <c r="H35" s="123">
        <v>402</v>
      </c>
      <c r="I35" s="123">
        <v>402</v>
      </c>
      <c r="J35"/>
      <c r="K35"/>
    </row>
    <row r="36" spans="1:11" ht="12.75" customHeight="1">
      <c r="A36" s="17" t="s">
        <v>40</v>
      </c>
      <c r="B36" s="29">
        <f aca="true" t="shared" si="2" ref="B36:I36">SUM(B27:B35)</f>
        <v>2498</v>
      </c>
      <c r="C36" s="124">
        <f t="shared" si="2"/>
        <v>2683</v>
      </c>
      <c r="D36" s="124">
        <f t="shared" si="2"/>
        <v>2659</v>
      </c>
      <c r="E36" s="124">
        <f t="shared" si="2"/>
        <v>2696</v>
      </c>
      <c r="F36" s="124">
        <f t="shared" si="2"/>
        <v>2659</v>
      </c>
      <c r="G36" s="124">
        <f t="shared" si="2"/>
        <v>2667</v>
      </c>
      <c r="H36" s="124">
        <f t="shared" si="2"/>
        <v>2681</v>
      </c>
      <c r="I36" s="124">
        <f t="shared" si="2"/>
        <v>2681</v>
      </c>
      <c r="J36"/>
      <c r="K36"/>
    </row>
    <row r="37" spans="1:11" ht="12.75" customHeight="1">
      <c r="A37" s="13" t="s">
        <v>34</v>
      </c>
      <c r="C37" s="123"/>
      <c r="D37" s="123"/>
      <c r="E37" s="123"/>
      <c r="F37" s="123"/>
      <c r="G37" s="123"/>
      <c r="H37" s="123"/>
      <c r="I37" s="123"/>
      <c r="J37"/>
      <c r="K37"/>
    </row>
    <row r="38" spans="1:11" ht="12.75" customHeight="1">
      <c r="A38" s="12" t="s">
        <v>35</v>
      </c>
      <c r="B38" s="10">
        <v>198</v>
      </c>
      <c r="C38" s="123">
        <v>204</v>
      </c>
      <c r="D38" s="123">
        <v>204</v>
      </c>
      <c r="E38" s="123">
        <v>184</v>
      </c>
      <c r="F38" s="123">
        <v>183</v>
      </c>
      <c r="G38" s="123">
        <v>184</v>
      </c>
      <c r="H38" s="123">
        <v>184</v>
      </c>
      <c r="I38" s="123">
        <v>184</v>
      </c>
      <c r="J38"/>
      <c r="K38"/>
    </row>
    <row r="39" spans="1:11" ht="12.75" customHeight="1">
      <c r="A39" s="11" t="s">
        <v>36</v>
      </c>
      <c r="B39" s="10">
        <v>21</v>
      </c>
      <c r="C39" s="123">
        <v>22</v>
      </c>
      <c r="D39" s="123">
        <v>22</v>
      </c>
      <c r="E39" s="123">
        <v>22</v>
      </c>
      <c r="F39" s="123">
        <v>22</v>
      </c>
      <c r="G39" s="123">
        <v>22</v>
      </c>
      <c r="H39" s="123">
        <v>22</v>
      </c>
      <c r="I39" s="123">
        <v>22</v>
      </c>
      <c r="J39"/>
      <c r="K39"/>
    </row>
    <row r="40" spans="1:11" ht="12.75" customHeight="1">
      <c r="A40" s="11" t="s">
        <v>37</v>
      </c>
      <c r="B40" s="10">
        <v>45</v>
      </c>
      <c r="C40" s="123">
        <v>45</v>
      </c>
      <c r="D40" s="123">
        <v>45</v>
      </c>
      <c r="E40" s="123">
        <v>45</v>
      </c>
      <c r="F40" s="123">
        <v>45</v>
      </c>
      <c r="G40" s="123">
        <v>46</v>
      </c>
      <c r="H40" s="123">
        <v>46</v>
      </c>
      <c r="I40" s="123">
        <v>46</v>
      </c>
      <c r="J40"/>
      <c r="K40"/>
    </row>
    <row r="41" spans="1:11" ht="12.75" customHeight="1">
      <c r="A41" s="11" t="s">
        <v>90</v>
      </c>
      <c r="B41" s="38" t="s">
        <v>59</v>
      </c>
      <c r="C41" s="123" t="s">
        <v>59</v>
      </c>
      <c r="D41" s="123" t="s">
        <v>59</v>
      </c>
      <c r="E41" s="123" t="s">
        <v>59</v>
      </c>
      <c r="F41" s="123">
        <v>50</v>
      </c>
      <c r="G41" s="123">
        <v>50</v>
      </c>
      <c r="H41" s="123">
        <v>50</v>
      </c>
      <c r="I41" s="123">
        <v>50</v>
      </c>
      <c r="J41"/>
      <c r="K41"/>
    </row>
    <row r="42" spans="1:9" ht="13.5" customHeight="1">
      <c r="A42" s="17" t="s">
        <v>41</v>
      </c>
      <c r="B42" s="29">
        <f aca="true" t="shared" si="3" ref="B42:I42">SUM(B38:B41)</f>
        <v>264</v>
      </c>
      <c r="C42" s="124">
        <f t="shared" si="3"/>
        <v>271</v>
      </c>
      <c r="D42" s="124">
        <f t="shared" si="3"/>
        <v>271</v>
      </c>
      <c r="E42" s="124">
        <f t="shared" si="3"/>
        <v>251</v>
      </c>
      <c r="F42" s="124">
        <f t="shared" si="3"/>
        <v>300</v>
      </c>
      <c r="G42" s="124">
        <f t="shared" si="3"/>
        <v>302</v>
      </c>
      <c r="H42" s="124">
        <f t="shared" si="3"/>
        <v>302</v>
      </c>
      <c r="I42" s="124">
        <f t="shared" si="3"/>
        <v>302</v>
      </c>
    </row>
    <row r="43" spans="1:9" ht="18" customHeight="1">
      <c r="A43" s="26" t="s">
        <v>6</v>
      </c>
      <c r="B43" s="30">
        <f aca="true" t="shared" si="4" ref="B43:I43">B16+B25+B36+B42</f>
        <v>3815</v>
      </c>
      <c r="C43" s="125">
        <f t="shared" si="4"/>
        <v>3988</v>
      </c>
      <c r="D43" s="125">
        <f t="shared" si="4"/>
        <v>3892</v>
      </c>
      <c r="E43" s="125">
        <f t="shared" si="4"/>
        <v>3982</v>
      </c>
      <c r="F43" s="125">
        <f t="shared" si="4"/>
        <v>3940</v>
      </c>
      <c r="G43" s="125">
        <f t="shared" si="4"/>
        <v>3949</v>
      </c>
      <c r="H43" s="125">
        <f t="shared" si="4"/>
        <v>3968</v>
      </c>
      <c r="I43" s="125">
        <f t="shared" si="4"/>
        <v>3966</v>
      </c>
    </row>
    <row r="44" ht="12.75" customHeight="1">
      <c r="A44" s="63" t="s">
        <v>78</v>
      </c>
    </row>
    <row r="45" spans="1:9" s="11" customFormat="1" ht="12.75" customHeight="1">
      <c r="A45" s="12" t="s">
        <v>76</v>
      </c>
      <c r="B45" s="59">
        <v>24</v>
      </c>
      <c r="C45" s="59">
        <v>24</v>
      </c>
      <c r="D45" s="59">
        <v>24</v>
      </c>
      <c r="E45" s="59">
        <v>24</v>
      </c>
      <c r="F45" s="59">
        <v>24</v>
      </c>
      <c r="G45" s="59">
        <v>24</v>
      </c>
      <c r="H45" s="59">
        <v>24</v>
      </c>
      <c r="I45" s="59">
        <v>24</v>
      </c>
    </row>
    <row r="46" spans="1:9" ht="12.75" customHeight="1">
      <c r="A46" s="25" t="s">
        <v>75</v>
      </c>
      <c r="B46" s="37">
        <v>40</v>
      </c>
      <c r="C46" s="37">
        <v>40</v>
      </c>
      <c r="D46" s="37">
        <v>40</v>
      </c>
      <c r="E46" s="37">
        <v>40</v>
      </c>
      <c r="F46" s="88">
        <v>40</v>
      </c>
      <c r="G46" s="88">
        <v>40</v>
      </c>
      <c r="H46" s="88">
        <v>31</v>
      </c>
      <c r="I46" s="88">
        <v>31</v>
      </c>
    </row>
    <row r="47" spans="1:9" ht="12.75" customHeight="1">
      <c r="A47" s="63" t="s">
        <v>79</v>
      </c>
      <c r="B47" s="38"/>
      <c r="F47" s="89"/>
      <c r="G47" s="89"/>
      <c r="H47" s="89"/>
      <c r="I47" s="89"/>
    </row>
    <row r="48" spans="1:9" ht="12.75" customHeight="1">
      <c r="A48" s="25" t="s">
        <v>75</v>
      </c>
      <c r="B48" s="37">
        <v>15</v>
      </c>
      <c r="C48" s="37">
        <v>13</v>
      </c>
      <c r="D48" s="37">
        <v>13</v>
      </c>
      <c r="E48" s="37">
        <v>15</v>
      </c>
      <c r="F48" s="88">
        <v>15</v>
      </c>
      <c r="G48" s="88">
        <v>15</v>
      </c>
      <c r="H48" s="88">
        <v>17</v>
      </c>
      <c r="I48" s="88">
        <v>17</v>
      </c>
    </row>
    <row r="49" ht="12.75" customHeight="1">
      <c r="A49" s="31" t="s">
        <v>112</v>
      </c>
    </row>
    <row r="50" ht="12.75" customHeight="1">
      <c r="A50" s="31" t="s">
        <v>111</v>
      </c>
    </row>
    <row r="51" ht="12.75" customHeight="1">
      <c r="A51" s="12"/>
    </row>
  </sheetData>
  <sheetProtection/>
  <mergeCells count="1">
    <mergeCell ref="A3:H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Q22"/>
  <sheetViews>
    <sheetView zoomScalePageLayoutView="0" workbookViewId="0" topLeftCell="A1">
      <selection activeCell="M33" sqref="M33"/>
    </sheetView>
  </sheetViews>
  <sheetFormatPr defaultColWidth="9.140625" defaultRowHeight="12.75"/>
  <cols>
    <col min="1" max="1" width="23.8515625" style="65" customWidth="1"/>
    <col min="2" max="8" width="9.7109375" style="65" hidden="1" customWidth="1"/>
    <col min="9" max="16" width="9.7109375" style="65" customWidth="1"/>
    <col min="17" max="16384" width="9.140625" style="65" customWidth="1"/>
  </cols>
  <sheetData>
    <row r="1" s="10" customFormat="1" ht="81.75" customHeight="1"/>
    <row r="2" s="10" customFormat="1" ht="12.75"/>
    <row r="3" spans="1:16" ht="12.75">
      <c r="A3" s="64" t="s">
        <v>124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2.75">
      <c r="A4" s="127"/>
      <c r="B4" s="130" t="s">
        <v>23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</row>
    <row r="5" spans="1:16" ht="12.75">
      <c r="A5" s="127"/>
      <c r="B5" s="83">
        <v>2003</v>
      </c>
      <c r="C5" s="83">
        <v>2004</v>
      </c>
      <c r="D5" s="83">
        <v>2005</v>
      </c>
      <c r="E5" s="83">
        <v>2006</v>
      </c>
      <c r="F5" s="83">
        <v>2007</v>
      </c>
      <c r="G5" s="83">
        <v>2008</v>
      </c>
      <c r="H5" s="83">
        <v>2009</v>
      </c>
      <c r="I5" s="83">
        <v>2010</v>
      </c>
      <c r="J5" s="83">
        <v>2011</v>
      </c>
      <c r="K5" s="83">
        <v>2012</v>
      </c>
      <c r="L5" s="83">
        <v>2013</v>
      </c>
      <c r="M5" s="83">
        <v>2014</v>
      </c>
      <c r="N5" s="83">
        <v>2015</v>
      </c>
      <c r="O5" s="83">
        <v>2016</v>
      </c>
      <c r="P5" s="83">
        <v>2017</v>
      </c>
    </row>
    <row r="6" spans="1:16" ht="15.75" customHeight="1">
      <c r="A6" s="61" t="s">
        <v>24</v>
      </c>
      <c r="B6" s="66">
        <v>544212</v>
      </c>
      <c r="C6" s="66">
        <v>597765</v>
      </c>
      <c r="D6" s="66">
        <v>599676</v>
      </c>
      <c r="E6" s="66">
        <v>499321</v>
      </c>
      <c r="F6" s="66">
        <v>533899</v>
      </c>
      <c r="G6" s="66">
        <v>561163</v>
      </c>
      <c r="H6" s="66">
        <v>552027</v>
      </c>
      <c r="I6" s="128">
        <v>845739</v>
      </c>
      <c r="J6" s="66">
        <v>715852</v>
      </c>
      <c r="K6" s="66">
        <f>483067+168169</f>
        <v>651236</v>
      </c>
      <c r="L6" s="66">
        <v>656907</v>
      </c>
      <c r="M6" s="66">
        <v>708881</v>
      </c>
      <c r="N6" s="66">
        <v>828759</v>
      </c>
      <c r="O6" s="66">
        <v>833437</v>
      </c>
      <c r="P6" s="66">
        <v>860371</v>
      </c>
    </row>
    <row r="7" spans="1:16" ht="15.75" customHeight="1" hidden="1">
      <c r="A7" s="61" t="s">
        <v>25</v>
      </c>
      <c r="B7" s="66">
        <v>347412</v>
      </c>
      <c r="C7" s="66">
        <v>358684</v>
      </c>
      <c r="D7" s="66">
        <v>371324</v>
      </c>
      <c r="E7" s="66">
        <v>329373</v>
      </c>
      <c r="F7" s="66">
        <v>304829</v>
      </c>
      <c r="G7" s="66">
        <v>308754</v>
      </c>
      <c r="H7" s="66">
        <v>282145</v>
      </c>
      <c r="I7" s="128"/>
      <c r="J7" s="67" t="s">
        <v>59</v>
      </c>
      <c r="K7" s="67" t="s">
        <v>59</v>
      </c>
      <c r="L7" s="67" t="s">
        <v>59</v>
      </c>
      <c r="M7" s="67" t="s">
        <v>59</v>
      </c>
      <c r="N7" s="67" t="s">
        <v>59</v>
      </c>
      <c r="O7" s="67" t="s">
        <v>59</v>
      </c>
      <c r="P7" s="67"/>
    </row>
    <row r="8" spans="1:17" ht="15.75" customHeight="1">
      <c r="A8" s="61" t="s">
        <v>58</v>
      </c>
      <c r="B8" s="67" t="s">
        <v>59</v>
      </c>
      <c r="C8" s="67" t="s">
        <v>59</v>
      </c>
      <c r="D8" s="67" t="s">
        <v>59</v>
      </c>
      <c r="E8" s="67" t="s">
        <v>59</v>
      </c>
      <c r="F8" s="67" t="s">
        <v>59</v>
      </c>
      <c r="G8" s="67" t="s">
        <v>59</v>
      </c>
      <c r="H8" s="67" t="s">
        <v>59</v>
      </c>
      <c r="I8" s="67" t="s">
        <v>59</v>
      </c>
      <c r="J8" s="68">
        <v>71468</v>
      </c>
      <c r="K8" s="68">
        <v>71484</v>
      </c>
      <c r="L8" s="68">
        <v>72189</v>
      </c>
      <c r="M8" s="68">
        <v>58592</v>
      </c>
      <c r="N8" s="67" t="s">
        <v>59</v>
      </c>
      <c r="O8" s="67" t="s">
        <v>59</v>
      </c>
      <c r="P8" s="67" t="s">
        <v>59</v>
      </c>
      <c r="Q8" s="87"/>
    </row>
    <row r="9" spans="1:16" ht="15.75" customHeight="1">
      <c r="A9" s="61" t="s">
        <v>68</v>
      </c>
      <c r="B9" s="67" t="s">
        <v>59</v>
      </c>
      <c r="C9" s="67" t="s">
        <v>59</v>
      </c>
      <c r="D9" s="67" t="s">
        <v>59</v>
      </c>
      <c r="E9" s="67" t="s">
        <v>59</v>
      </c>
      <c r="F9" s="67" t="s">
        <v>59</v>
      </c>
      <c r="G9" s="67" t="s">
        <v>59</v>
      </c>
      <c r="H9" s="67" t="s">
        <v>59</v>
      </c>
      <c r="I9" s="67" t="s">
        <v>59</v>
      </c>
      <c r="J9" s="67" t="s">
        <v>59</v>
      </c>
      <c r="K9" s="68">
        <v>31024</v>
      </c>
      <c r="L9" s="68">
        <v>18470</v>
      </c>
      <c r="M9" s="68">
        <v>11555</v>
      </c>
      <c r="N9" s="67" t="s">
        <v>59</v>
      </c>
      <c r="O9" s="67">
        <v>7237</v>
      </c>
      <c r="P9" s="67">
        <v>7011</v>
      </c>
    </row>
    <row r="10" spans="1:16" ht="15.75" customHeight="1">
      <c r="A10" s="61" t="s">
        <v>26</v>
      </c>
      <c r="B10" s="66">
        <v>19269</v>
      </c>
      <c r="C10" s="66">
        <v>18296</v>
      </c>
      <c r="D10" s="66">
        <v>19372</v>
      </c>
      <c r="E10" s="66">
        <v>16228</v>
      </c>
      <c r="F10" s="66">
        <v>15612</v>
      </c>
      <c r="G10" s="66">
        <v>16258</v>
      </c>
      <c r="H10" s="66">
        <v>17062</v>
      </c>
      <c r="I10" s="66">
        <v>19123</v>
      </c>
      <c r="J10" s="66">
        <v>16262</v>
      </c>
      <c r="K10" s="66">
        <v>16735</v>
      </c>
      <c r="L10" s="66">
        <v>18863</v>
      </c>
      <c r="M10" s="66">
        <v>20273</v>
      </c>
      <c r="N10" s="66">
        <v>23652</v>
      </c>
      <c r="O10" s="66">
        <v>25207</v>
      </c>
      <c r="P10" s="66">
        <v>26956.74</v>
      </c>
    </row>
    <row r="11" spans="1:16" ht="12.75">
      <c r="A11" s="61" t="s">
        <v>27</v>
      </c>
      <c r="B11" s="66">
        <v>3193</v>
      </c>
      <c r="C11" s="66">
        <v>3858</v>
      </c>
      <c r="D11" s="66">
        <v>4037</v>
      </c>
      <c r="E11" s="66">
        <v>4382</v>
      </c>
      <c r="F11" s="66">
        <v>4233</v>
      </c>
      <c r="G11" s="66">
        <v>4455</v>
      </c>
      <c r="H11" s="66">
        <v>3538</v>
      </c>
      <c r="I11" s="66">
        <v>4373</v>
      </c>
      <c r="J11" s="66">
        <v>4378</v>
      </c>
      <c r="K11" s="66">
        <v>4952</v>
      </c>
      <c r="L11" s="66">
        <v>5444</v>
      </c>
      <c r="M11" s="66">
        <v>5294</v>
      </c>
      <c r="N11" s="66">
        <v>4787</v>
      </c>
      <c r="O11" s="66">
        <v>5758</v>
      </c>
      <c r="P11" s="66">
        <v>4571.07</v>
      </c>
    </row>
    <row r="12" spans="1:16" ht="12.75">
      <c r="A12" s="69" t="s">
        <v>93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>
        <f>273+386+213+4502</f>
        <v>5374</v>
      </c>
      <c r="O12" s="70"/>
      <c r="P12" s="70">
        <v>5517</v>
      </c>
    </row>
    <row r="13" spans="1:16" ht="12.7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spans="1:16" ht="12.75">
      <c r="A14" s="129"/>
      <c r="B14" s="130" t="s">
        <v>28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</row>
    <row r="15" spans="1:16" ht="12.75">
      <c r="A15" s="129"/>
      <c r="B15" s="83">
        <v>2003</v>
      </c>
      <c r="C15" s="83">
        <v>2004</v>
      </c>
      <c r="D15" s="83">
        <v>2005</v>
      </c>
      <c r="E15" s="83">
        <v>2006</v>
      </c>
      <c r="F15" s="83">
        <v>2007</v>
      </c>
      <c r="G15" s="83">
        <v>2008</v>
      </c>
      <c r="H15" s="83">
        <v>2009</v>
      </c>
      <c r="I15" s="83">
        <v>2010</v>
      </c>
      <c r="J15" s="83">
        <v>2011</v>
      </c>
      <c r="K15" s="83">
        <v>2012</v>
      </c>
      <c r="L15" s="83">
        <v>2013</v>
      </c>
      <c r="M15" s="83">
        <v>2014</v>
      </c>
      <c r="N15" s="83">
        <v>2015</v>
      </c>
      <c r="O15" s="83">
        <v>2016</v>
      </c>
      <c r="P15" s="83">
        <v>2017</v>
      </c>
    </row>
    <row r="16" spans="1:16" ht="15.75" customHeight="1">
      <c r="A16" s="61" t="s">
        <v>29</v>
      </c>
      <c r="B16" s="66">
        <v>699716</v>
      </c>
      <c r="C16" s="66">
        <v>663986</v>
      </c>
      <c r="D16" s="66">
        <v>712813</v>
      </c>
      <c r="E16" s="66">
        <v>591776</v>
      </c>
      <c r="F16" s="66">
        <v>626996</v>
      </c>
      <c r="G16" s="66">
        <v>675981</v>
      </c>
      <c r="H16" s="72">
        <v>662009</v>
      </c>
      <c r="I16" s="72">
        <v>792066</v>
      </c>
      <c r="J16" s="72">
        <v>543591</v>
      </c>
      <c r="K16" s="72">
        <v>560000</v>
      </c>
      <c r="L16" s="72">
        <v>482022</v>
      </c>
      <c r="M16" s="72">
        <v>468635</v>
      </c>
      <c r="N16" s="72">
        <v>377951</v>
      </c>
      <c r="O16" s="72">
        <v>430463</v>
      </c>
      <c r="P16" s="72">
        <v>423110.2</v>
      </c>
    </row>
    <row r="17" spans="1:16" ht="15.75" customHeight="1">
      <c r="A17" s="61" t="s">
        <v>30</v>
      </c>
      <c r="B17" s="66">
        <v>3080</v>
      </c>
      <c r="C17" s="66">
        <v>2585</v>
      </c>
      <c r="D17" s="66">
        <v>2556</v>
      </c>
      <c r="E17" s="66">
        <v>2256</v>
      </c>
      <c r="F17" s="66">
        <v>2016</v>
      </c>
      <c r="G17" s="66">
        <v>2439</v>
      </c>
      <c r="H17" s="66">
        <v>2204</v>
      </c>
      <c r="I17" s="66">
        <v>3471</v>
      </c>
      <c r="J17" s="66">
        <v>6799</v>
      </c>
      <c r="K17" s="67" t="s">
        <v>59</v>
      </c>
      <c r="L17" s="67" t="s">
        <v>59</v>
      </c>
      <c r="M17" s="67" t="s">
        <v>59</v>
      </c>
      <c r="N17" s="67" t="s">
        <v>59</v>
      </c>
      <c r="O17" s="67" t="s">
        <v>59</v>
      </c>
      <c r="P17" s="67" t="s">
        <v>59</v>
      </c>
    </row>
    <row r="18" spans="1:16" ht="15.75" customHeight="1">
      <c r="A18" s="61" t="s">
        <v>26</v>
      </c>
      <c r="B18" s="66">
        <v>36546</v>
      </c>
      <c r="C18" s="66">
        <v>34471</v>
      </c>
      <c r="D18" s="66">
        <v>34507</v>
      </c>
      <c r="E18" s="66">
        <v>29443</v>
      </c>
      <c r="F18" s="66">
        <v>27605</v>
      </c>
      <c r="G18" s="66">
        <v>30261</v>
      </c>
      <c r="H18" s="66">
        <v>28694</v>
      </c>
      <c r="I18" s="66">
        <v>32367</v>
      </c>
      <c r="J18" s="66">
        <v>22762</v>
      </c>
      <c r="K18" s="66">
        <v>22146</v>
      </c>
      <c r="L18" s="66">
        <v>21162</v>
      </c>
      <c r="M18" s="66">
        <v>21725</v>
      </c>
      <c r="N18" s="66">
        <v>21808</v>
      </c>
      <c r="O18" s="67">
        <v>22090</v>
      </c>
      <c r="P18" s="67">
        <v>22177.5</v>
      </c>
    </row>
    <row r="19" spans="1:16" s="82" customFormat="1" ht="12.75">
      <c r="A19" s="61" t="s">
        <v>27</v>
      </c>
      <c r="B19" s="66">
        <v>3965</v>
      </c>
      <c r="C19" s="66">
        <v>4248</v>
      </c>
      <c r="D19" s="66">
        <v>3980</v>
      </c>
      <c r="E19" s="66">
        <v>4371</v>
      </c>
      <c r="F19" s="66">
        <v>4308</v>
      </c>
      <c r="G19" s="66">
        <v>4495</v>
      </c>
      <c r="H19" s="66">
        <v>4568</v>
      </c>
      <c r="I19" s="66">
        <v>4920</v>
      </c>
      <c r="J19" s="66">
        <v>4756</v>
      </c>
      <c r="K19" s="66">
        <v>4723</v>
      </c>
      <c r="L19" s="66">
        <v>5614</v>
      </c>
      <c r="M19" s="66">
        <v>5931</v>
      </c>
      <c r="N19" s="66">
        <v>4655</v>
      </c>
      <c r="O19" s="66">
        <v>4908</v>
      </c>
      <c r="P19" s="66">
        <v>4799.4</v>
      </c>
    </row>
    <row r="20" spans="1:16" ht="12.75">
      <c r="A20" s="69" t="s">
        <v>94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>
        <f>329+456+213</f>
        <v>998</v>
      </c>
      <c r="O20" s="70"/>
      <c r="P20" s="70">
        <v>1015</v>
      </c>
    </row>
    <row r="21" spans="1:16" ht="12.75">
      <c r="A21" s="73" t="s">
        <v>31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</row>
    <row r="22" spans="1:16" ht="12.75">
      <c r="A22" s="71" t="s">
        <v>53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</row>
  </sheetData>
  <sheetProtection selectLockedCells="1" selectUnlockedCells="1"/>
  <mergeCells count="5">
    <mergeCell ref="A4:A5"/>
    <mergeCell ref="I6:I7"/>
    <mergeCell ref="A14:A15"/>
    <mergeCell ref="B4:P4"/>
    <mergeCell ref="B14:P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c.malucelli</cp:lastModifiedBy>
  <cp:lastPrinted>2015-04-10T11:06:43Z</cp:lastPrinted>
  <dcterms:created xsi:type="dcterms:W3CDTF">2007-03-08T09:30:29Z</dcterms:created>
  <dcterms:modified xsi:type="dcterms:W3CDTF">2018-09-07T07:12:54Z</dcterms:modified>
  <cp:category/>
  <cp:version/>
  <cp:contentType/>
  <cp:contentStatus/>
</cp:coreProperties>
</file>